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6.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10.160.129.51\fs\section\企-企画課\統計係\共有\＜統計うらそえ＞\平成３０年版統計うらそえ\□（入力用）H30\HP掲載用（Excel）\"/>
    </mc:Choice>
  </mc:AlternateContent>
  <workbookProtection lockStructure="1"/>
  <bookViews>
    <workbookView xWindow="0" yWindow="0" windowWidth="20490" windowHeight="7770" tabRatio="601" activeTab="5"/>
  </bookViews>
  <sheets>
    <sheet name="-39-" sheetId="14" r:id="rId1"/>
    <sheet name="‐40‐" sheetId="2" r:id="rId2"/>
    <sheet name="‐41‐" sheetId="18" r:id="rId3"/>
    <sheet name="‐42‐" sheetId="3" r:id="rId4"/>
    <sheet name="‐43‐" sheetId="4" r:id="rId5"/>
    <sheet name="‐44‐" sheetId="21" r:id="rId6"/>
    <sheet name="‐45‐" sheetId="6" r:id="rId7"/>
    <sheet name="‐46‐" sheetId="7" r:id="rId8"/>
    <sheet name="‐47‐" sheetId="19" r:id="rId9"/>
    <sheet name="‐48‐" sheetId="8" r:id="rId10"/>
    <sheet name="‐49‐" sheetId="9" r:id="rId11"/>
    <sheet name="‐50‐" sheetId="10" r:id="rId12"/>
    <sheet name="‐51‐" sheetId="17" r:id="rId13"/>
    <sheet name="‐52‐" sheetId="15" r:id="rId14"/>
    <sheet name="‐53‐" sheetId="11" r:id="rId15"/>
    <sheet name="‐54‐" sheetId="12" r:id="rId16"/>
    <sheet name="グラフ" sheetId="22" r:id="rId17"/>
  </sheets>
  <externalReferences>
    <externalReference r:id="rId18"/>
  </externalReferences>
  <definedNames>
    <definedName name="_xlnm.Print_Area" localSheetId="0">'-39-'!$A$1:$J$47</definedName>
    <definedName name="_xlnm.Print_Area" localSheetId="1">‐40‐!$A$1:$H$49</definedName>
    <definedName name="_xlnm.Print_Area" localSheetId="2">‐41‐!$I$1:$P$49</definedName>
    <definedName name="_xlnm.Print_Area" localSheetId="3">‐42‐!$A$1:$J$58</definedName>
    <definedName name="_xlnm.Print_Area" localSheetId="4">‐43‐!$A$1:$H$33</definedName>
    <definedName name="_xlnm.Print_Area" localSheetId="5">‐44‐!$A$1:$L$56</definedName>
    <definedName name="_xlnm.Print_Area" localSheetId="7">‐46‐!$A$1:$L$53</definedName>
    <definedName name="_xlnm.Print_Area" localSheetId="8">‐47‐!$M$1:$W$53</definedName>
    <definedName name="_xlnm.Print_Area" localSheetId="9">‐48‐!$A$1:$G$44</definedName>
    <definedName name="_xlnm.Print_Area" localSheetId="11">‐50‐!$A$1:$L$38</definedName>
    <definedName name="_xlnm.Print_Area" localSheetId="12">‐51‐!$N$1:$X$39</definedName>
    <definedName name="_xlnm.Print_Area" localSheetId="13">‐52‐!$A$1:$H$40</definedName>
    <definedName name="_xlnm.Print_Area" localSheetId="14">‐53‐!$I$1:$Q$40</definedName>
    <definedName name="_xlnm.Print_Area" localSheetId="15">‐54‐!$A$1:$K$46</definedName>
    <definedName name="_xlnm.Print_Area" localSheetId="16">グラフ!$A$1:$F$244</definedName>
  </definedNames>
  <calcPr calcId="152511" iterateDelta="1E-4"/>
</workbook>
</file>

<file path=xl/calcChain.xml><?xml version="1.0" encoding="utf-8"?>
<calcChain xmlns="http://schemas.openxmlformats.org/spreadsheetml/2006/main">
  <c r="J45" i="22" l="1"/>
  <c r="J46" i="22"/>
  <c r="J47" i="22"/>
  <c r="J44" i="22"/>
  <c r="J39" i="22"/>
  <c r="J40" i="22"/>
  <c r="J41" i="22"/>
  <c r="J38" i="22"/>
  <c r="I41" i="3" l="1"/>
  <c r="F55" i="3" l="1"/>
  <c r="F54" i="3"/>
  <c r="F53" i="3"/>
  <c r="F52" i="3"/>
  <c r="F51" i="3"/>
  <c r="F50" i="3"/>
  <c r="F49" i="3"/>
  <c r="F48" i="3"/>
  <c r="F47" i="3" s="1"/>
  <c r="H47" i="3"/>
  <c r="G47" i="3"/>
  <c r="E47" i="3"/>
  <c r="F46" i="3"/>
  <c r="F45" i="3"/>
  <c r="F44" i="3"/>
  <c r="F43" i="3"/>
  <c r="F42" i="3"/>
  <c r="F41" i="3"/>
  <c r="F40" i="3"/>
  <c r="F39" i="3" s="1"/>
  <c r="H39" i="3"/>
  <c r="H6" i="3" s="1"/>
  <c r="G39" i="3"/>
  <c r="E39" i="3"/>
  <c r="F38" i="3"/>
  <c r="F37" i="3"/>
  <c r="F36" i="3"/>
  <c r="F35" i="3"/>
  <c r="F34" i="3"/>
  <c r="F33" i="3" s="1"/>
  <c r="H33" i="3"/>
  <c r="G33" i="3"/>
  <c r="E33" i="3"/>
  <c r="F32" i="3"/>
  <c r="F31" i="3"/>
  <c r="F30" i="3"/>
  <c r="F29" i="3"/>
  <c r="F28" i="3" s="1"/>
  <c r="H28" i="3"/>
  <c r="G28" i="3"/>
  <c r="E28" i="3"/>
  <c r="F27" i="3"/>
  <c r="F26" i="3"/>
  <c r="F25" i="3"/>
  <c r="F24" i="3"/>
  <c r="F23" i="3"/>
  <c r="H22" i="3"/>
  <c r="G22" i="3"/>
  <c r="F22" i="3"/>
  <c r="E22" i="3"/>
  <c r="F21" i="3"/>
  <c r="F20" i="3"/>
  <c r="F19" i="3"/>
  <c r="F18" i="3"/>
  <c r="F17" i="3"/>
  <c r="F16" i="3"/>
  <c r="F15" i="3"/>
  <c r="F14" i="3" s="1"/>
  <c r="H14" i="3"/>
  <c r="G14" i="3"/>
  <c r="E14" i="3"/>
  <c r="E6" i="3" s="1"/>
  <c r="F13" i="3"/>
  <c r="F12" i="3"/>
  <c r="F11" i="3"/>
  <c r="F10" i="3"/>
  <c r="F9" i="3"/>
  <c r="F8" i="3"/>
  <c r="H7" i="3"/>
  <c r="G7" i="3"/>
  <c r="F7" i="3" s="1"/>
  <c r="E7" i="3"/>
  <c r="G6" i="3" l="1"/>
  <c r="F6" i="3" s="1"/>
  <c r="L47" i="18" l="1"/>
  <c r="K47" i="18"/>
  <c r="H47" i="18"/>
  <c r="G47" i="18"/>
  <c r="D47" i="18"/>
  <c r="C47" i="18"/>
  <c r="J46" i="18"/>
  <c r="F46" i="18"/>
  <c r="B46" i="18"/>
  <c r="J45" i="18"/>
  <c r="F45" i="18"/>
  <c r="B45" i="18"/>
  <c r="J44" i="18"/>
  <c r="F44" i="18"/>
  <c r="B44" i="18"/>
  <c r="J43" i="18"/>
  <c r="F43" i="18"/>
  <c r="B43" i="18"/>
  <c r="J42" i="18"/>
  <c r="J47" i="18" s="1"/>
  <c r="F42" i="18"/>
  <c r="F47" i="18" s="1"/>
  <c r="B42" i="18"/>
  <c r="B47" i="18" s="1"/>
  <c r="L40" i="18"/>
  <c r="K40" i="18"/>
  <c r="H40" i="18"/>
  <c r="G40" i="18"/>
  <c r="D40" i="18"/>
  <c r="P32" i="18" s="1"/>
  <c r="C40" i="18"/>
  <c r="J39" i="18"/>
  <c r="F39" i="18"/>
  <c r="B39" i="18"/>
  <c r="J38" i="18"/>
  <c r="J40" i="18" s="1"/>
  <c r="F38" i="18"/>
  <c r="B38" i="18"/>
  <c r="B40" i="18" s="1"/>
  <c r="J37" i="18"/>
  <c r="F37" i="18"/>
  <c r="B37" i="18"/>
  <c r="J36" i="18"/>
  <c r="F36" i="18"/>
  <c r="B36" i="18"/>
  <c r="J35" i="18"/>
  <c r="F35" i="18"/>
  <c r="F40" i="18" s="1"/>
  <c r="B35" i="18"/>
  <c r="L33" i="18"/>
  <c r="P36" i="18" s="1"/>
  <c r="K33" i="18"/>
  <c r="H33" i="18"/>
  <c r="G33" i="18"/>
  <c r="O39" i="18" s="1"/>
  <c r="D33" i="18"/>
  <c r="P39" i="18" s="1"/>
  <c r="C33" i="18"/>
  <c r="J32" i="18"/>
  <c r="F32" i="18"/>
  <c r="B32" i="18"/>
  <c r="J31" i="18"/>
  <c r="F31" i="18"/>
  <c r="B31" i="18"/>
  <c r="J30" i="18"/>
  <c r="J33" i="18" s="1"/>
  <c r="F30" i="18"/>
  <c r="B30" i="18"/>
  <c r="B33" i="18" s="1"/>
  <c r="J29" i="18"/>
  <c r="F29" i="18"/>
  <c r="B29" i="18"/>
  <c r="N28" i="18"/>
  <c r="J28" i="18"/>
  <c r="F28" i="18"/>
  <c r="F33" i="18" s="1"/>
  <c r="B28" i="18"/>
  <c r="P26" i="18"/>
  <c r="O26" i="18"/>
  <c r="L26" i="18"/>
  <c r="K26" i="18"/>
  <c r="H26" i="18"/>
  <c r="G26" i="18"/>
  <c r="F26" i="18"/>
  <c r="D26" i="18"/>
  <c r="C26" i="18"/>
  <c r="N25" i="18"/>
  <c r="J25" i="18"/>
  <c r="F25" i="18"/>
  <c r="B25" i="18"/>
  <c r="N24" i="18"/>
  <c r="J24" i="18"/>
  <c r="F24" i="18"/>
  <c r="B24" i="18"/>
  <c r="N23" i="18"/>
  <c r="J23" i="18"/>
  <c r="F23" i="18"/>
  <c r="B23" i="18"/>
  <c r="N22" i="18"/>
  <c r="J22" i="18"/>
  <c r="F22" i="18"/>
  <c r="B22" i="18"/>
  <c r="N21" i="18"/>
  <c r="N26" i="18" s="1"/>
  <c r="J21" i="18"/>
  <c r="J26" i="18" s="1"/>
  <c r="F21" i="18"/>
  <c r="B21" i="18"/>
  <c r="B26" i="18" s="1"/>
  <c r="P19" i="18"/>
  <c r="O19" i="18"/>
  <c r="L19" i="18"/>
  <c r="P40" i="18" s="1"/>
  <c r="K19" i="18"/>
  <c r="H19" i="18"/>
  <c r="G19" i="18"/>
  <c r="F19" i="18"/>
  <c r="D19" i="18"/>
  <c r="C19" i="18"/>
  <c r="N18" i="18"/>
  <c r="J18" i="18"/>
  <c r="F18" i="18"/>
  <c r="B18" i="18"/>
  <c r="N17" i="18"/>
  <c r="J17" i="18"/>
  <c r="F17" i="18"/>
  <c r="B17" i="18"/>
  <c r="N16" i="18"/>
  <c r="J16" i="18"/>
  <c r="F16" i="18"/>
  <c r="B16" i="18"/>
  <c r="N15" i="18"/>
  <c r="J15" i="18"/>
  <c r="F15" i="18"/>
  <c r="B15" i="18"/>
  <c r="N14" i="18"/>
  <c r="N19" i="18" s="1"/>
  <c r="J14" i="18"/>
  <c r="J19" i="18" s="1"/>
  <c r="F14" i="18"/>
  <c r="B14" i="18"/>
  <c r="B19" i="18" s="1"/>
  <c r="P12" i="18"/>
  <c r="O12" i="18"/>
  <c r="L12" i="18"/>
  <c r="P34" i="18" s="1"/>
  <c r="K12" i="18"/>
  <c r="O34" i="18" s="1"/>
  <c r="N34" i="18" s="1"/>
  <c r="H12" i="18"/>
  <c r="G12" i="18"/>
  <c r="O33" i="18" s="1"/>
  <c r="F12" i="18"/>
  <c r="D12" i="18"/>
  <c r="P38" i="18" s="1"/>
  <c r="C12" i="18"/>
  <c r="O38" i="18" s="1"/>
  <c r="N11" i="18"/>
  <c r="J11" i="18"/>
  <c r="F11" i="18"/>
  <c r="B11" i="18"/>
  <c r="N10" i="18"/>
  <c r="J10" i="18"/>
  <c r="F10" i="18"/>
  <c r="B10" i="18"/>
  <c r="N9" i="18"/>
  <c r="J9" i="18"/>
  <c r="F9" i="18"/>
  <c r="B9" i="18"/>
  <c r="N8" i="18"/>
  <c r="J8" i="18"/>
  <c r="F8" i="18"/>
  <c r="B8" i="18"/>
  <c r="N7" i="18"/>
  <c r="N12" i="18" s="1"/>
  <c r="J7" i="18"/>
  <c r="J12" i="18" s="1"/>
  <c r="F7" i="18"/>
  <c r="B7" i="18"/>
  <c r="B12" i="18" s="1"/>
  <c r="L47" i="2"/>
  <c r="K47" i="2"/>
  <c r="H47" i="2"/>
  <c r="G47" i="2"/>
  <c r="D47" i="2"/>
  <c r="C47" i="2"/>
  <c r="J46" i="2"/>
  <c r="F46" i="2"/>
  <c r="B46" i="2"/>
  <c r="J45" i="2"/>
  <c r="F45" i="2"/>
  <c r="B45" i="2"/>
  <c r="J44" i="2"/>
  <c r="F44" i="2"/>
  <c r="B44" i="2"/>
  <c r="J43" i="2"/>
  <c r="F43" i="2"/>
  <c r="B43" i="2"/>
  <c r="J42" i="2"/>
  <c r="J47" i="2" s="1"/>
  <c r="F42" i="2"/>
  <c r="F47" i="2" s="1"/>
  <c r="B42" i="2"/>
  <c r="B47" i="2" s="1"/>
  <c r="L40" i="2"/>
  <c r="K40" i="2"/>
  <c r="H40" i="2"/>
  <c r="G40" i="2"/>
  <c r="D40" i="2"/>
  <c r="C40" i="2"/>
  <c r="O33" i="2" s="1"/>
  <c r="N33" i="2" s="1"/>
  <c r="J39" i="2"/>
  <c r="F39" i="2"/>
  <c r="B39" i="2"/>
  <c r="J38" i="2"/>
  <c r="F38" i="2"/>
  <c r="B38" i="2"/>
  <c r="J37" i="2"/>
  <c r="F37" i="2"/>
  <c r="B37" i="2"/>
  <c r="J36" i="2"/>
  <c r="F36" i="2"/>
  <c r="B36" i="2"/>
  <c r="J35" i="2"/>
  <c r="J40" i="2" s="1"/>
  <c r="F35" i="2"/>
  <c r="F40" i="2" s="1"/>
  <c r="B35" i="2"/>
  <c r="B40" i="2" s="1"/>
  <c r="P33" i="2"/>
  <c r="L33" i="2"/>
  <c r="P36" i="2" s="1"/>
  <c r="K33" i="2"/>
  <c r="O36" i="2" s="1"/>
  <c r="H33" i="2"/>
  <c r="G33" i="2"/>
  <c r="D33" i="2"/>
  <c r="P39" i="2" s="1"/>
  <c r="C33" i="2"/>
  <c r="O39" i="2" s="1"/>
  <c r="P32" i="2"/>
  <c r="J32" i="2"/>
  <c r="F32" i="2"/>
  <c r="F33" i="2" s="1"/>
  <c r="B32" i="2"/>
  <c r="J31" i="2"/>
  <c r="F31" i="2"/>
  <c r="B31" i="2"/>
  <c r="J30" i="2"/>
  <c r="F30" i="2"/>
  <c r="B30" i="2"/>
  <c r="J29" i="2"/>
  <c r="F29" i="2"/>
  <c r="B29" i="2"/>
  <c r="N28" i="2"/>
  <c r="J28" i="2"/>
  <c r="J33" i="2" s="1"/>
  <c r="F28" i="2"/>
  <c r="B28" i="2"/>
  <c r="B33" i="2" s="1"/>
  <c r="P26" i="2"/>
  <c r="O26" i="2"/>
  <c r="L26" i="2"/>
  <c r="P35" i="2" s="1"/>
  <c r="K26" i="2"/>
  <c r="H26" i="2"/>
  <c r="G26" i="2"/>
  <c r="D26" i="2"/>
  <c r="C26" i="2"/>
  <c r="N25" i="2"/>
  <c r="J25" i="2"/>
  <c r="F25" i="2"/>
  <c r="B25" i="2"/>
  <c r="N24" i="2"/>
  <c r="J24" i="2"/>
  <c r="F24" i="2"/>
  <c r="B24" i="2"/>
  <c r="N23" i="2"/>
  <c r="J23" i="2"/>
  <c r="F23" i="2"/>
  <c r="B23" i="2"/>
  <c r="N22" i="2"/>
  <c r="J22" i="2"/>
  <c r="F22" i="2"/>
  <c r="B22" i="2"/>
  <c r="N21" i="2"/>
  <c r="N26" i="2" s="1"/>
  <c r="J21" i="2"/>
  <c r="J26" i="2" s="1"/>
  <c r="F21" i="2"/>
  <c r="F26" i="2" s="1"/>
  <c r="B21" i="2"/>
  <c r="B26" i="2" s="1"/>
  <c r="P19" i="2"/>
  <c r="O19" i="2"/>
  <c r="L19" i="2"/>
  <c r="P40" i="2" s="1"/>
  <c r="K19" i="2"/>
  <c r="O40" i="2" s="1"/>
  <c r="H19" i="2"/>
  <c r="G19" i="2"/>
  <c r="D19" i="2"/>
  <c r="C19" i="2"/>
  <c r="N18" i="2"/>
  <c r="J18" i="2"/>
  <c r="F18" i="2"/>
  <c r="B18" i="2"/>
  <c r="N17" i="2"/>
  <c r="J17" i="2"/>
  <c r="F17" i="2"/>
  <c r="B17" i="2"/>
  <c r="N16" i="2"/>
  <c r="J16" i="2"/>
  <c r="F16" i="2"/>
  <c r="B16" i="2"/>
  <c r="N15" i="2"/>
  <c r="J15" i="2"/>
  <c r="F15" i="2"/>
  <c r="B15" i="2"/>
  <c r="N14" i="2"/>
  <c r="N19" i="2" s="1"/>
  <c r="J14" i="2"/>
  <c r="J19" i="2" s="1"/>
  <c r="F14" i="2"/>
  <c r="F19" i="2" s="1"/>
  <c r="B14" i="2"/>
  <c r="B19" i="2" s="1"/>
  <c r="P12" i="2"/>
  <c r="O12" i="2"/>
  <c r="L12" i="2"/>
  <c r="P34" i="2" s="1"/>
  <c r="K12" i="2"/>
  <c r="O34" i="2" s="1"/>
  <c r="H12" i="2"/>
  <c r="G12" i="2"/>
  <c r="D12" i="2"/>
  <c r="P38" i="2" s="1"/>
  <c r="C12" i="2"/>
  <c r="O38" i="2" s="1"/>
  <c r="N11" i="2"/>
  <c r="J11" i="2"/>
  <c r="F11" i="2"/>
  <c r="B11" i="2"/>
  <c r="N10" i="2"/>
  <c r="J10" i="2"/>
  <c r="F10" i="2"/>
  <c r="B10" i="2"/>
  <c r="N9" i="2"/>
  <c r="J9" i="2"/>
  <c r="F9" i="2"/>
  <c r="B9" i="2"/>
  <c r="N8" i="2"/>
  <c r="J8" i="2"/>
  <c r="F8" i="2"/>
  <c r="B8" i="2"/>
  <c r="N7" i="2"/>
  <c r="N12" i="2" s="1"/>
  <c r="J7" i="2"/>
  <c r="J12" i="2" s="1"/>
  <c r="F7" i="2"/>
  <c r="F12" i="2" s="1"/>
  <c r="B7" i="2"/>
  <c r="B12" i="2" s="1"/>
  <c r="O35" i="18" l="1"/>
  <c r="O36" i="18"/>
  <c r="N36" i="18" s="1"/>
  <c r="O40" i="18"/>
  <c r="N39" i="18"/>
  <c r="N38" i="18"/>
  <c r="N40" i="18"/>
  <c r="P33" i="18"/>
  <c r="N33" i="18" s="1"/>
  <c r="P35" i="18"/>
  <c r="N35" i="18" s="1"/>
  <c r="O32" i="18"/>
  <c r="N32" i="18" s="1"/>
  <c r="N38" i="2"/>
  <c r="N34" i="2"/>
  <c r="N40" i="2"/>
  <c r="N39" i="2"/>
  <c r="N36" i="2"/>
  <c r="O35" i="2"/>
  <c r="N35" i="2" s="1"/>
  <c r="O32" i="2"/>
  <c r="N32" i="2" s="1"/>
  <c r="I103" i="22" l="1"/>
  <c r="J103" i="22"/>
  <c r="K103" i="22"/>
  <c r="L103" i="22"/>
  <c r="K90" i="22" s="1"/>
  <c r="L102" i="22"/>
  <c r="K102" i="22"/>
  <c r="J102" i="22"/>
  <c r="I102" i="22"/>
  <c r="J89" i="22" s="1"/>
  <c r="I89" i="22" s="1"/>
  <c r="L101" i="22"/>
  <c r="K101" i="22"/>
  <c r="J101" i="22"/>
  <c r="I101" i="22"/>
  <c r="J88" i="22" s="1"/>
  <c r="I88" i="22" s="1"/>
  <c r="L100" i="22"/>
  <c r="K100" i="22"/>
  <c r="J100" i="22"/>
  <c r="I100" i="22"/>
  <c r="J87" i="22" s="1"/>
  <c r="I87" i="22" s="1"/>
  <c r="L99" i="22"/>
  <c r="K99" i="22"/>
  <c r="K86" i="22" s="1"/>
  <c r="J99" i="22"/>
  <c r="I99" i="22"/>
  <c r="L98" i="22"/>
  <c r="K98" i="22"/>
  <c r="J98" i="22"/>
  <c r="I98" i="22"/>
  <c r="J85" i="22" s="1"/>
  <c r="I85" i="22" s="1"/>
  <c r="L97" i="22"/>
  <c r="K97" i="22"/>
  <c r="J97" i="22"/>
  <c r="I97" i="22"/>
  <c r="J84" i="22" s="1"/>
  <c r="I84" i="22" s="1"/>
  <c r="L96" i="22"/>
  <c r="K96" i="22"/>
  <c r="J96" i="22"/>
  <c r="I96" i="22"/>
  <c r="J83" i="22" s="1"/>
  <c r="I83" i="22" s="1"/>
  <c r="L95" i="22"/>
  <c r="K95" i="22"/>
  <c r="J95" i="22"/>
  <c r="I95" i="22"/>
  <c r="J82" i="22" s="1"/>
  <c r="I82" i="22" s="1"/>
  <c r="L94" i="22"/>
  <c r="K94" i="22"/>
  <c r="J94" i="22"/>
  <c r="I94" i="22"/>
  <c r="J81" i="22" s="1"/>
  <c r="J90" i="22"/>
  <c r="K89" i="22"/>
  <c r="K88" i="22"/>
  <c r="K87" i="22"/>
  <c r="J86" i="22"/>
  <c r="I86" i="22" s="1"/>
  <c r="K85" i="22"/>
  <c r="K84" i="22"/>
  <c r="K83" i="22"/>
  <c r="K82" i="22"/>
  <c r="K81" i="22"/>
  <c r="I46" i="22"/>
  <c r="I45" i="22"/>
  <c r="I44" i="22"/>
  <c r="I47" i="22" s="1"/>
  <c r="I40" i="22"/>
  <c r="I39" i="22"/>
  <c r="I38" i="22"/>
  <c r="I30" i="22"/>
  <c r="I29" i="22"/>
  <c r="I28" i="22"/>
  <c r="I27" i="22"/>
  <c r="I26" i="22"/>
  <c r="I25" i="22"/>
  <c r="I24" i="22"/>
  <c r="I23" i="22"/>
  <c r="I22" i="22"/>
  <c r="I21" i="22"/>
  <c r="I20" i="22"/>
  <c r="I19" i="22"/>
  <c r="I18" i="22"/>
  <c r="I17" i="22"/>
  <c r="J14" i="22"/>
  <c r="I14" i="22"/>
  <c r="L14" i="22" s="1"/>
  <c r="M14" i="22" s="1"/>
  <c r="K14" i="22" s="1"/>
  <c r="H14" i="22"/>
  <c r="L13" i="22"/>
  <c r="M13" i="22" s="1"/>
  <c r="K13" i="22" s="1"/>
  <c r="J13" i="22"/>
  <c r="I13" i="22"/>
  <c r="H13" i="22"/>
  <c r="J12" i="22"/>
  <c r="I12" i="22"/>
  <c r="L12" i="22" s="1"/>
  <c r="M12" i="22" s="1"/>
  <c r="K12" i="22" s="1"/>
  <c r="H12" i="22"/>
  <c r="L11" i="22"/>
  <c r="J11" i="22"/>
  <c r="I11" i="22"/>
  <c r="H11" i="22"/>
  <c r="J10" i="22"/>
  <c r="I10" i="22"/>
  <c r="L10" i="22" s="1"/>
  <c r="M10" i="22" s="1"/>
  <c r="K10" i="22" s="1"/>
  <c r="H10" i="22"/>
  <c r="L9" i="22"/>
  <c r="J9" i="22"/>
  <c r="I9" i="22"/>
  <c r="H9" i="22"/>
  <c r="J8" i="22"/>
  <c r="I8" i="22"/>
  <c r="L8" i="22" s="1"/>
  <c r="M8" i="22" s="1"/>
  <c r="K8" i="22" s="1"/>
  <c r="H8" i="22"/>
  <c r="L7" i="22"/>
  <c r="J7" i="22"/>
  <c r="I7" i="22"/>
  <c r="H7" i="22"/>
  <c r="J6" i="22"/>
  <c r="I6" i="22"/>
  <c r="L6" i="22" s="1"/>
  <c r="M6" i="22" s="1"/>
  <c r="K6" i="22" s="1"/>
  <c r="H6" i="22"/>
  <c r="L5" i="22"/>
  <c r="J5" i="22"/>
  <c r="I5" i="22"/>
  <c r="H5" i="22"/>
  <c r="L3" i="22"/>
  <c r="K3" i="22" s="1"/>
  <c r="I126" i="22"/>
  <c r="J126" i="22"/>
  <c r="K126" i="22"/>
  <c r="I127" i="22"/>
  <c r="J127" i="22"/>
  <c r="K127" i="22"/>
  <c r="I128" i="22"/>
  <c r="J128" i="22"/>
  <c r="K128" i="22"/>
  <c r="I129" i="22"/>
  <c r="J129" i="22"/>
  <c r="K129" i="22"/>
  <c r="I130" i="22"/>
  <c r="J130" i="22"/>
  <c r="K130" i="22"/>
  <c r="I131" i="22"/>
  <c r="J131" i="22"/>
  <c r="K131" i="22"/>
  <c r="I132" i="22"/>
  <c r="J132" i="22"/>
  <c r="K132" i="22"/>
  <c r="I133" i="22"/>
  <c r="J133" i="22"/>
  <c r="K133" i="22"/>
  <c r="I134" i="22"/>
  <c r="J134" i="22"/>
  <c r="K134" i="22"/>
  <c r="I135" i="22"/>
  <c r="J135" i="22"/>
  <c r="K135" i="22"/>
  <c r="I157" i="22"/>
  <c r="J157" i="22"/>
  <c r="I158" i="22"/>
  <c r="J158" i="22" s="1"/>
  <c r="I188" i="22"/>
  <c r="J188" i="22"/>
  <c r="K188" i="22"/>
  <c r="I189" i="22"/>
  <c r="J189" i="22"/>
  <c r="K189" i="22"/>
  <c r="I190" i="22"/>
  <c r="J190" i="22"/>
  <c r="K190" i="22"/>
  <c r="I198" i="22"/>
  <c r="J198" i="22"/>
  <c r="K198" i="22"/>
  <c r="I199" i="22"/>
  <c r="J199" i="22"/>
  <c r="K199" i="22"/>
  <c r="N289" i="22"/>
  <c r="O289" i="22"/>
  <c r="P289" i="22"/>
  <c r="P290" i="22"/>
  <c r="P292" i="22" s="1"/>
  <c r="N292" i="22"/>
  <c r="O292" i="22"/>
  <c r="I32" i="22" l="1"/>
  <c r="I41" i="22"/>
  <c r="M5" i="22"/>
  <c r="K5" i="22" s="1"/>
  <c r="I90" i="22"/>
  <c r="I81" i="22"/>
  <c r="M9" i="22"/>
  <c r="K9" i="22" s="1"/>
  <c r="M11" i="22"/>
  <c r="K11" i="22" s="1"/>
  <c r="M7" i="22"/>
  <c r="K7" i="22" s="1"/>
  <c r="H40" i="21" l="1"/>
  <c r="E40" i="21"/>
  <c r="E39" i="21"/>
  <c r="C39" i="21" s="1"/>
  <c r="H38" i="21"/>
  <c r="E38" i="21"/>
  <c r="C38" i="21" s="1"/>
  <c r="H37" i="21"/>
  <c r="E37" i="21"/>
  <c r="C37" i="21" s="1"/>
  <c r="H36" i="21"/>
  <c r="E36" i="21"/>
  <c r="C36" i="21"/>
  <c r="H35" i="21"/>
  <c r="E35" i="21"/>
  <c r="C35" i="21" s="1"/>
  <c r="H34" i="21"/>
  <c r="E34" i="21"/>
  <c r="C34" i="21" s="1"/>
  <c r="H33" i="21"/>
  <c r="E33" i="21"/>
  <c r="C33" i="21" s="1"/>
  <c r="H32" i="21"/>
  <c r="E32" i="21"/>
  <c r="C32" i="21"/>
  <c r="H31" i="21"/>
  <c r="E31" i="21"/>
  <c r="C31" i="21"/>
  <c r="H30" i="21"/>
  <c r="E30" i="21"/>
  <c r="C30" i="21" s="1"/>
  <c r="H29" i="21"/>
  <c r="E29" i="21"/>
  <c r="C29" i="21" s="1"/>
  <c r="H28" i="21"/>
  <c r="E28" i="21"/>
  <c r="C28" i="21"/>
  <c r="H27" i="21"/>
  <c r="E27" i="21"/>
  <c r="C27" i="21"/>
  <c r="H26" i="21"/>
  <c r="E26" i="21"/>
  <c r="C26" i="21" s="1"/>
  <c r="H25" i="21"/>
  <c r="E25" i="21"/>
  <c r="C25" i="21" s="1"/>
  <c r="K4" i="21"/>
  <c r="J4" i="21"/>
  <c r="I4" i="21"/>
  <c r="H4" i="21"/>
  <c r="G4" i="21"/>
  <c r="F4" i="21"/>
  <c r="E4" i="21"/>
  <c r="H8" i="4"/>
  <c r="J8" i="3"/>
  <c r="I7" i="3"/>
  <c r="C47" i="3"/>
  <c r="C39" i="3"/>
  <c r="C33" i="3"/>
  <c r="C28" i="3"/>
  <c r="C22" i="3"/>
  <c r="C14" i="3"/>
  <c r="C6" i="3" s="1"/>
  <c r="C7" i="3"/>
  <c r="C40" i="21" l="1"/>
  <c r="H45" i="14" l="1"/>
  <c r="E45" i="14"/>
  <c r="B45" i="14"/>
  <c r="H44" i="14"/>
  <c r="E44" i="14"/>
  <c r="B44" i="14"/>
  <c r="H43" i="14"/>
  <c r="E43" i="14"/>
  <c r="B43" i="14"/>
  <c r="H42" i="14"/>
  <c r="E42" i="14"/>
  <c r="B42" i="14"/>
  <c r="H41" i="14"/>
  <c r="E41" i="14"/>
  <c r="B41" i="14"/>
  <c r="H40" i="14"/>
  <c r="E40" i="14"/>
  <c r="B40" i="14"/>
  <c r="H39" i="14"/>
  <c r="E39" i="14"/>
  <c r="B39" i="14"/>
  <c r="H38" i="14"/>
  <c r="E38" i="14"/>
  <c r="B38" i="14"/>
  <c r="H37" i="14"/>
  <c r="E37" i="14"/>
  <c r="B37" i="14"/>
  <c r="C30" i="14"/>
  <c r="G30" i="14" s="1"/>
  <c r="I30" i="14" s="1"/>
  <c r="C29" i="14"/>
  <c r="C28" i="14"/>
  <c r="C27" i="14"/>
  <c r="C26" i="14"/>
  <c r="C25" i="14"/>
  <c r="C24" i="14"/>
  <c r="C23" i="14"/>
  <c r="C22" i="14"/>
  <c r="C21" i="14"/>
  <c r="G15" i="14" l="1"/>
  <c r="I15" i="14" s="1"/>
  <c r="F15" i="14"/>
  <c r="C15" i="14"/>
  <c r="H54" i="21" l="1"/>
  <c r="E54" i="21"/>
  <c r="C54" i="21"/>
  <c r="H53" i="21"/>
  <c r="E53" i="21"/>
  <c r="H52" i="21"/>
  <c r="E52" i="21"/>
  <c r="C52" i="21" s="1"/>
  <c r="H51" i="21"/>
  <c r="C51" i="21" s="1"/>
  <c r="E51" i="21"/>
  <c r="H50" i="21"/>
  <c r="E50" i="21"/>
  <c r="H49" i="21"/>
  <c r="E49" i="21"/>
  <c r="C49" i="21" s="1"/>
  <c r="H48" i="21"/>
  <c r="E48" i="21"/>
  <c r="C48" i="21" s="1"/>
  <c r="H47" i="21"/>
  <c r="E47" i="21"/>
  <c r="C47" i="21" s="1"/>
  <c r="H46" i="21"/>
  <c r="E46" i="21"/>
  <c r="C46" i="21" s="1"/>
  <c r="H45" i="21"/>
  <c r="E45" i="21"/>
  <c r="H44" i="21"/>
  <c r="E44" i="21"/>
  <c r="C44" i="21" s="1"/>
  <c r="H43" i="21"/>
  <c r="E43" i="21"/>
  <c r="L41" i="21"/>
  <c r="K41" i="21"/>
  <c r="J41" i="21"/>
  <c r="L104" i="22" s="1"/>
  <c r="I41" i="21"/>
  <c r="K104" i="22" s="1"/>
  <c r="K91" i="22" s="1"/>
  <c r="G41" i="21"/>
  <c r="J104" i="22" s="1"/>
  <c r="F41" i="21"/>
  <c r="I104" i="22" s="1"/>
  <c r="L4" i="21"/>
  <c r="C53" i="21" l="1"/>
  <c r="C50" i="21"/>
  <c r="C43" i="21"/>
  <c r="J91" i="22"/>
  <c r="I91" i="22" s="1"/>
  <c r="H41" i="21"/>
  <c r="C45" i="21"/>
  <c r="E41" i="21"/>
  <c r="C41" i="21" s="1"/>
  <c r="C6" i="4"/>
  <c r="E6" i="4" l="1"/>
  <c r="C5" i="18" l="1"/>
  <c r="D5" i="18"/>
  <c r="B5" i="18" s="1"/>
  <c r="O44" i="18" l="1"/>
  <c r="P43" i="18"/>
  <c r="P44" i="18"/>
  <c r="O43" i="18"/>
  <c r="O45" i="18"/>
  <c r="P45" i="18"/>
  <c r="N43" i="18"/>
  <c r="N44" i="18"/>
  <c r="N45" i="18"/>
  <c r="N14" i="11"/>
  <c r="L14" i="11"/>
  <c r="V31" i="19" l="1"/>
  <c r="N12" i="11" l="1"/>
  <c r="J20" i="15"/>
  <c r="J13" i="15"/>
  <c r="J20" i="11"/>
  <c r="J13" i="11"/>
  <c r="R23" i="7" l="1"/>
  <c r="R22" i="7"/>
  <c r="R21" i="7"/>
  <c r="R20" i="7"/>
  <c r="R19" i="7"/>
  <c r="R18" i="7"/>
  <c r="R17" i="7"/>
  <c r="R16" i="7"/>
  <c r="R15" i="7"/>
  <c r="R14" i="7"/>
  <c r="R13" i="7"/>
  <c r="R12" i="7"/>
  <c r="R11" i="7"/>
  <c r="R10" i="7"/>
  <c r="R9" i="7"/>
  <c r="R18" i="19"/>
  <c r="R15" i="19"/>
  <c r="T15" i="19"/>
  <c r="R11" i="19"/>
  <c r="R12" i="19"/>
  <c r="R13" i="19"/>
  <c r="R14" i="19"/>
  <c r="R16" i="19"/>
  <c r="R17" i="19"/>
  <c r="R19" i="19"/>
  <c r="R20" i="19"/>
  <c r="R21" i="19"/>
  <c r="R22" i="19"/>
  <c r="R23" i="19"/>
  <c r="R10" i="19"/>
  <c r="R9" i="19"/>
  <c r="P20" i="19"/>
  <c r="O20" i="19"/>
  <c r="O20" i="7"/>
  <c r="P20" i="7" s="1"/>
  <c r="H10" i="4"/>
  <c r="H25" i="4"/>
  <c r="H17" i="4" l="1"/>
  <c r="F8" i="4"/>
  <c r="G8" i="4" s="1"/>
  <c r="I8" i="4"/>
  <c r="L8" i="4"/>
  <c r="I21" i="3" l="1"/>
  <c r="P20" i="11" l="1"/>
  <c r="N20" i="11"/>
  <c r="P19" i="11"/>
  <c r="N19" i="11"/>
  <c r="P18" i="11"/>
  <c r="N18" i="11"/>
  <c r="P17" i="11"/>
  <c r="N17" i="11"/>
  <c r="P16" i="11"/>
  <c r="N16" i="11"/>
  <c r="P15" i="11"/>
  <c r="N15" i="11"/>
  <c r="P14" i="11"/>
  <c r="P13" i="11"/>
  <c r="N13" i="11"/>
  <c r="P12" i="11"/>
  <c r="P11" i="11"/>
  <c r="N11" i="11"/>
  <c r="P10" i="11"/>
  <c r="N10" i="11"/>
  <c r="C17" i="12" l="1"/>
  <c r="H34" i="11"/>
  <c r="D34" i="11"/>
  <c r="C34" i="11" s="1"/>
  <c r="H31" i="11"/>
  <c r="D31" i="11"/>
  <c r="C31" i="11"/>
  <c r="H28" i="11"/>
  <c r="C28" i="11" s="1"/>
  <c r="D28" i="11"/>
  <c r="L20" i="11"/>
  <c r="G20" i="11"/>
  <c r="L19" i="11"/>
  <c r="G19" i="11"/>
  <c r="J19" i="11" s="1"/>
  <c r="L18" i="11"/>
  <c r="J18" i="11"/>
  <c r="G18" i="11"/>
  <c r="L17" i="11"/>
  <c r="J17" i="11"/>
  <c r="G17" i="11"/>
  <c r="L16" i="11"/>
  <c r="G16" i="11"/>
  <c r="J16" i="11" s="1"/>
  <c r="G15" i="11"/>
  <c r="J15" i="11" s="1"/>
  <c r="J14" i="11"/>
  <c r="G14" i="11"/>
  <c r="L13" i="11"/>
  <c r="G13" i="11"/>
  <c r="L12" i="11"/>
  <c r="J12" i="11"/>
  <c r="G12" i="11"/>
  <c r="L11" i="11"/>
  <c r="G11" i="11"/>
  <c r="J11" i="11" s="1"/>
  <c r="L10" i="11"/>
  <c r="G10" i="11"/>
  <c r="J10" i="11" s="1"/>
  <c r="J10" i="15"/>
  <c r="G13" i="15"/>
  <c r="X36" i="17" l="1"/>
  <c r="W36" i="17"/>
  <c r="V36" i="17"/>
  <c r="U36" i="17"/>
  <c r="T36" i="17"/>
  <c r="S36" i="17"/>
  <c r="R36" i="17"/>
  <c r="Q36" i="17"/>
  <c r="P36" i="17"/>
  <c r="O36" i="17"/>
  <c r="N36" i="17"/>
  <c r="L36" i="17"/>
  <c r="K36" i="17"/>
  <c r="J36" i="17"/>
  <c r="I36" i="17"/>
  <c r="H36" i="17"/>
  <c r="D36" i="17" s="1"/>
  <c r="G36" i="17"/>
  <c r="F36" i="17"/>
  <c r="D34" i="17"/>
  <c r="D33" i="17"/>
  <c r="X32" i="17"/>
  <c r="W32" i="17"/>
  <c r="W31" i="17" s="1"/>
  <c r="V32" i="17"/>
  <c r="V31" i="17" s="1"/>
  <c r="U32" i="17"/>
  <c r="T32" i="17"/>
  <c r="S32" i="17"/>
  <c r="S31" i="17" s="1"/>
  <c r="R32" i="17"/>
  <c r="R31" i="17" s="1"/>
  <c r="Q32" i="17"/>
  <c r="P32" i="17"/>
  <c r="O32" i="17"/>
  <c r="O31" i="17" s="1"/>
  <c r="N32" i="17"/>
  <c r="N31" i="17" s="1"/>
  <c r="L32" i="17"/>
  <c r="K32" i="17"/>
  <c r="J32" i="17"/>
  <c r="J31" i="17" s="1"/>
  <c r="I32" i="17"/>
  <c r="I31" i="17" s="1"/>
  <c r="H32" i="17"/>
  <c r="G32" i="17"/>
  <c r="F32" i="17"/>
  <c r="F31" i="17" s="1"/>
  <c r="D32" i="17"/>
  <c r="X31" i="17" s="1"/>
  <c r="L31" i="17"/>
  <c r="H31" i="17"/>
  <c r="D30" i="17"/>
  <c r="D29" i="17"/>
  <c r="X28" i="17"/>
  <c r="X27" i="17" s="1"/>
  <c r="W28" i="17"/>
  <c r="W27" i="17" s="1"/>
  <c r="V28" i="17"/>
  <c r="V27" i="17" s="1"/>
  <c r="U28" i="17"/>
  <c r="T28" i="17"/>
  <c r="T27" i="17" s="1"/>
  <c r="S28" i="17"/>
  <c r="S27" i="17" s="1"/>
  <c r="R28" i="17"/>
  <c r="R27" i="17" s="1"/>
  <c r="Q28" i="17"/>
  <c r="P28" i="17"/>
  <c r="P27" i="17" s="1"/>
  <c r="O28" i="17"/>
  <c r="O27" i="17" s="1"/>
  <c r="N28" i="17"/>
  <c r="N27" i="17" s="1"/>
  <c r="L28" i="17"/>
  <c r="K28" i="17"/>
  <c r="K27" i="17" s="1"/>
  <c r="J28" i="17"/>
  <c r="J27" i="17" s="1"/>
  <c r="I28" i="17"/>
  <c r="I27" i="17" s="1"/>
  <c r="H28" i="17"/>
  <c r="G28" i="17"/>
  <c r="G27" i="17" s="1"/>
  <c r="F28" i="17"/>
  <c r="F27" i="17" s="1"/>
  <c r="D28" i="17"/>
  <c r="U27" i="17" s="1"/>
  <c r="Q27" i="17"/>
  <c r="L27" i="17"/>
  <c r="H27" i="17"/>
  <c r="D26" i="17"/>
  <c r="D25" i="17"/>
  <c r="X24" i="17"/>
  <c r="X23" i="17" s="1"/>
  <c r="W24" i="17"/>
  <c r="V24" i="17"/>
  <c r="D24" i="17" s="1"/>
  <c r="U24" i="17"/>
  <c r="T24" i="17"/>
  <c r="T23" i="17" s="1"/>
  <c r="S24" i="17"/>
  <c r="R24" i="17"/>
  <c r="Q24" i="17"/>
  <c r="P24" i="17"/>
  <c r="P23" i="17" s="1"/>
  <c r="O24" i="17"/>
  <c r="N24" i="17"/>
  <c r="L24" i="17"/>
  <c r="K24" i="17"/>
  <c r="K23" i="17" s="1"/>
  <c r="J24" i="17"/>
  <c r="I24" i="17"/>
  <c r="I23" i="17" s="1"/>
  <c r="H24" i="17"/>
  <c r="G24" i="17"/>
  <c r="G23" i="17" s="1"/>
  <c r="F24" i="17"/>
  <c r="Q35" i="17" l="1"/>
  <c r="U35" i="17"/>
  <c r="N35" i="17"/>
  <c r="R35" i="17"/>
  <c r="V35" i="17"/>
  <c r="W35" i="17"/>
  <c r="S35" i="17"/>
  <c r="O35" i="17"/>
  <c r="K35" i="17"/>
  <c r="G35" i="17"/>
  <c r="M35" i="17"/>
  <c r="T35" i="17"/>
  <c r="L35" i="17"/>
  <c r="J35" i="17"/>
  <c r="F35" i="17"/>
  <c r="I35" i="17"/>
  <c r="X35" i="17"/>
  <c r="P35" i="17"/>
  <c r="H35" i="17"/>
  <c r="L23" i="17"/>
  <c r="U23" i="17"/>
  <c r="Q23" i="17"/>
  <c r="H23" i="17"/>
  <c r="N23" i="17"/>
  <c r="R23" i="17"/>
  <c r="F23" i="17"/>
  <c r="J23" i="17"/>
  <c r="O23" i="17"/>
  <c r="S23" i="17"/>
  <c r="W23" i="17"/>
  <c r="D27" i="17"/>
  <c r="Q31" i="17"/>
  <c r="U31" i="17"/>
  <c r="V23" i="17"/>
  <c r="G31" i="17"/>
  <c r="D31" i="17" s="1"/>
  <c r="K31" i="17"/>
  <c r="P31" i="17"/>
  <c r="T31" i="17"/>
  <c r="F24" i="10"/>
  <c r="G24" i="10"/>
  <c r="H24" i="10"/>
  <c r="I24" i="10"/>
  <c r="J24" i="10"/>
  <c r="K24" i="10"/>
  <c r="L24" i="10"/>
  <c r="N24" i="10"/>
  <c r="O24" i="10"/>
  <c r="P24" i="10"/>
  <c r="Q24" i="10"/>
  <c r="R24" i="10"/>
  <c r="S24" i="10"/>
  <c r="T24" i="10"/>
  <c r="U24" i="10"/>
  <c r="V24" i="10"/>
  <c r="W24" i="10"/>
  <c r="X24" i="10"/>
  <c r="D25" i="10"/>
  <c r="D26" i="10"/>
  <c r="F28" i="10"/>
  <c r="G28" i="10"/>
  <c r="H28" i="10"/>
  <c r="I28" i="10"/>
  <c r="J28" i="10"/>
  <c r="K28" i="10"/>
  <c r="L28" i="10"/>
  <c r="N28" i="10"/>
  <c r="O28" i="10"/>
  <c r="P28" i="10"/>
  <c r="Q28" i="10"/>
  <c r="R28" i="10"/>
  <c r="S28" i="10"/>
  <c r="T28" i="10"/>
  <c r="U28" i="10"/>
  <c r="V28" i="10"/>
  <c r="W28" i="10"/>
  <c r="X28" i="10"/>
  <c r="D29" i="10"/>
  <c r="D30" i="10"/>
  <c r="F32" i="10"/>
  <c r="G32" i="10"/>
  <c r="H32" i="10"/>
  <c r="I32" i="10"/>
  <c r="J32" i="10"/>
  <c r="K32" i="10"/>
  <c r="L32" i="10"/>
  <c r="N32" i="10"/>
  <c r="O32" i="10"/>
  <c r="P32" i="10"/>
  <c r="Q32" i="10"/>
  <c r="R32" i="10"/>
  <c r="S32" i="10"/>
  <c r="T32" i="10"/>
  <c r="U32" i="10"/>
  <c r="V32" i="10"/>
  <c r="W32" i="10"/>
  <c r="X32" i="10"/>
  <c r="D33" i="10"/>
  <c r="D34" i="10"/>
  <c r="D23" i="17" l="1"/>
  <c r="D35" i="17"/>
  <c r="T31" i="10"/>
  <c r="O31" i="10"/>
  <c r="D28" i="10"/>
  <c r="V27" i="10" s="1"/>
  <c r="D24" i="10"/>
  <c r="I23" i="10" s="1"/>
  <c r="D32" i="10"/>
  <c r="V31" i="10" s="1"/>
  <c r="B23" i="9"/>
  <c r="L22" i="9"/>
  <c r="K22" i="9"/>
  <c r="J22" i="9"/>
  <c r="J15" i="9" s="1"/>
  <c r="I22" i="9"/>
  <c r="H22" i="9"/>
  <c r="G22" i="9"/>
  <c r="F22" i="9"/>
  <c r="F15" i="9" s="1"/>
  <c r="E22" i="9"/>
  <c r="B22" i="9"/>
  <c r="L21" i="9"/>
  <c r="K21" i="9"/>
  <c r="K15" i="9" s="1"/>
  <c r="J21" i="9"/>
  <c r="I21" i="9"/>
  <c r="H21" i="9"/>
  <c r="G21" i="9"/>
  <c r="G15" i="9" s="1"/>
  <c r="F21" i="9"/>
  <c r="E21" i="9"/>
  <c r="B21" i="9"/>
  <c r="L20" i="9"/>
  <c r="L15" i="9" s="1"/>
  <c r="K20" i="9"/>
  <c r="J20" i="9"/>
  <c r="I20" i="9"/>
  <c r="H20" i="9"/>
  <c r="H15" i="9" s="1"/>
  <c r="G20" i="9"/>
  <c r="F20" i="9"/>
  <c r="E20" i="9"/>
  <c r="B20" i="9"/>
  <c r="B19" i="9"/>
  <c r="B18" i="9"/>
  <c r="B17" i="9"/>
  <c r="B16" i="9"/>
  <c r="B15" i="9" s="1"/>
  <c r="I15" i="9"/>
  <c r="E15" i="9"/>
  <c r="D15" i="9"/>
  <c r="C15" i="9"/>
  <c r="B13" i="9"/>
  <c r="K12" i="9"/>
  <c r="J12" i="9"/>
  <c r="I12" i="9"/>
  <c r="H12" i="9"/>
  <c r="H5" i="9" s="1"/>
  <c r="G12" i="9"/>
  <c r="F12" i="9"/>
  <c r="E12" i="9"/>
  <c r="D12" i="9"/>
  <c r="B12" i="9" s="1"/>
  <c r="C12" i="9"/>
  <c r="K11" i="9"/>
  <c r="J11" i="9"/>
  <c r="J5" i="9" s="1"/>
  <c r="I11" i="9"/>
  <c r="H11" i="9"/>
  <c r="G11" i="9"/>
  <c r="F11" i="9"/>
  <c r="E11" i="9"/>
  <c r="D11" i="9"/>
  <c r="C11" i="9"/>
  <c r="B11" i="9"/>
  <c r="J10" i="9"/>
  <c r="I10" i="9"/>
  <c r="H10" i="9"/>
  <c r="F10" i="9"/>
  <c r="F5" i="9" s="1"/>
  <c r="E10" i="9"/>
  <c r="D10" i="9"/>
  <c r="D5" i="9" s="1"/>
  <c r="C10" i="9"/>
  <c r="B10" i="9"/>
  <c r="B9" i="9"/>
  <c r="B8" i="9"/>
  <c r="B7" i="9"/>
  <c r="B6" i="9"/>
  <c r="B5" i="9" s="1"/>
  <c r="L5" i="9"/>
  <c r="K5" i="9"/>
  <c r="I5" i="9"/>
  <c r="G5" i="9"/>
  <c r="E5" i="9"/>
  <c r="C5" i="9"/>
  <c r="F31" i="10" l="1"/>
  <c r="K31" i="10"/>
  <c r="J31" i="10"/>
  <c r="I31" i="10"/>
  <c r="J27" i="10"/>
  <c r="O23" i="10"/>
  <c r="T23" i="10"/>
  <c r="P27" i="10"/>
  <c r="Q23" i="10"/>
  <c r="N23" i="10"/>
  <c r="H27" i="10"/>
  <c r="L27" i="10"/>
  <c r="Q27" i="10"/>
  <c r="U27" i="10"/>
  <c r="S23" i="10"/>
  <c r="O27" i="10"/>
  <c r="G23" i="10"/>
  <c r="X23" i="10"/>
  <c r="T27" i="10"/>
  <c r="P31" i="10"/>
  <c r="U23" i="10"/>
  <c r="R31" i="10"/>
  <c r="R23" i="10"/>
  <c r="N31" i="10"/>
  <c r="W23" i="10"/>
  <c r="S27" i="10"/>
  <c r="K23" i="10"/>
  <c r="G27" i="10"/>
  <c r="X27" i="10"/>
  <c r="H23" i="10"/>
  <c r="N27" i="10"/>
  <c r="W31" i="10"/>
  <c r="V23" i="10"/>
  <c r="F23" i="10"/>
  <c r="U31" i="10"/>
  <c r="H31" i="10"/>
  <c r="L31" i="10"/>
  <c r="Q31" i="10"/>
  <c r="J23" i="10"/>
  <c r="F27" i="10"/>
  <c r="W27" i="10"/>
  <c r="S31" i="10"/>
  <c r="P23" i="10"/>
  <c r="K27" i="10"/>
  <c r="G31" i="10"/>
  <c r="L23" i="10"/>
  <c r="R27" i="10"/>
  <c r="I27" i="10"/>
  <c r="X31" i="10"/>
  <c r="C41" i="8"/>
  <c r="F41" i="8" s="1"/>
  <c r="C39" i="8"/>
  <c r="F39" i="8" s="1"/>
  <c r="C37" i="8"/>
  <c r="F37" i="8" s="1"/>
  <c r="C35" i="8"/>
  <c r="F35" i="8" s="1"/>
  <c r="C33" i="8"/>
  <c r="F33" i="8" s="1"/>
  <c r="C31" i="8"/>
  <c r="F31" i="8" s="1"/>
  <c r="C29" i="8"/>
  <c r="F29" i="8" s="1"/>
  <c r="C27" i="8"/>
  <c r="F27" i="8" s="1"/>
  <c r="C25" i="8"/>
  <c r="F25" i="8" s="1"/>
  <c r="C23" i="8"/>
  <c r="F23" i="8" s="1"/>
  <c r="C21" i="8"/>
  <c r="F21" i="8" s="1"/>
  <c r="C19" i="8"/>
  <c r="F19" i="8" s="1"/>
  <c r="C17" i="8"/>
  <c r="C13" i="8"/>
  <c r="F13" i="8" s="1"/>
  <c r="F11" i="8"/>
  <c r="C11" i="8"/>
  <c r="D31" i="10" l="1"/>
  <c r="D27" i="10"/>
  <c r="D23" i="10"/>
  <c r="I47" i="19"/>
  <c r="E47" i="19"/>
  <c r="I46" i="19"/>
  <c r="E46" i="19"/>
  <c r="V45" i="19"/>
  <c r="T45" i="19"/>
  <c r="Q45" i="19"/>
  <c r="I45" i="19"/>
  <c r="E45" i="19"/>
  <c r="T44" i="19"/>
  <c r="V44" i="19" s="1"/>
  <c r="Q44" i="19"/>
  <c r="I44" i="19"/>
  <c r="E44" i="19"/>
  <c r="V43" i="19"/>
  <c r="T43" i="19"/>
  <c r="Q43" i="19"/>
  <c r="I43" i="19"/>
  <c r="E43" i="19"/>
  <c r="T42" i="19"/>
  <c r="V42" i="19" s="1"/>
  <c r="I42" i="19"/>
  <c r="E42" i="19"/>
  <c r="T41" i="19"/>
  <c r="V41" i="19" s="1"/>
  <c r="Q41" i="19"/>
  <c r="I41" i="19"/>
  <c r="E41" i="19"/>
  <c r="V40" i="19"/>
  <c r="T40" i="19"/>
  <c r="Q40" i="19"/>
  <c r="I40" i="19"/>
  <c r="E40" i="19"/>
  <c r="T39" i="19"/>
  <c r="V39" i="19" s="1"/>
  <c r="Q39" i="19"/>
  <c r="I39" i="19"/>
  <c r="E39" i="19"/>
  <c r="V38" i="19"/>
  <c r="T38" i="19"/>
  <c r="Q38" i="19"/>
  <c r="E38" i="19"/>
  <c r="V37" i="19"/>
  <c r="T37" i="19"/>
  <c r="Q37" i="19"/>
  <c r="I37" i="19"/>
  <c r="V36" i="19"/>
  <c r="T36" i="19"/>
  <c r="Q36" i="19"/>
  <c r="I36" i="19"/>
  <c r="E36" i="19"/>
  <c r="T35" i="19"/>
  <c r="V35" i="19" s="1"/>
  <c r="Q35" i="19"/>
  <c r="E35" i="19"/>
  <c r="T34" i="19"/>
  <c r="V34" i="19" s="1"/>
  <c r="Q34" i="19"/>
  <c r="E34" i="19"/>
  <c r="T33" i="19"/>
  <c r="V33" i="19" s="1"/>
  <c r="Q33" i="19"/>
  <c r="I33" i="19"/>
  <c r="T32" i="19"/>
  <c r="V32" i="19" s="1"/>
  <c r="Q32" i="19"/>
  <c r="I32" i="19"/>
  <c r="E32" i="19"/>
  <c r="T31" i="19"/>
  <c r="Q31" i="19"/>
  <c r="I31" i="19"/>
  <c r="E31" i="19"/>
  <c r="T23" i="19"/>
  <c r="O23" i="19"/>
  <c r="P23" i="19" s="1"/>
  <c r="T22" i="19"/>
  <c r="O22" i="19"/>
  <c r="P22" i="19" s="1"/>
  <c r="T21" i="19"/>
  <c r="O21" i="19"/>
  <c r="P21" i="19" s="1"/>
  <c r="T20" i="19"/>
  <c r="T19" i="19"/>
  <c r="O19" i="19"/>
  <c r="P19" i="19" s="1"/>
  <c r="T18" i="19"/>
  <c r="O18" i="19"/>
  <c r="P18" i="19" s="1"/>
  <c r="T17" i="19"/>
  <c r="O17" i="19"/>
  <c r="P17" i="19" s="1"/>
  <c r="T16" i="19"/>
  <c r="O16" i="19"/>
  <c r="P16" i="19" s="1"/>
  <c r="O15" i="19"/>
  <c r="P15" i="19" s="1"/>
  <c r="T14" i="19"/>
  <c r="O14" i="19"/>
  <c r="P14" i="19" s="1"/>
  <c r="T13" i="19"/>
  <c r="O13" i="19"/>
  <c r="P13" i="19" s="1"/>
  <c r="T12" i="19"/>
  <c r="O12" i="19"/>
  <c r="P12" i="19" s="1"/>
  <c r="T11" i="19"/>
  <c r="O11" i="19"/>
  <c r="P11" i="19" s="1"/>
  <c r="T10" i="19"/>
  <c r="O10" i="19"/>
  <c r="P10" i="19" s="1"/>
  <c r="P9" i="19"/>
  <c r="O9" i="19"/>
  <c r="P21" i="7"/>
  <c r="T41" i="7" l="1"/>
  <c r="T40" i="7"/>
  <c r="T42" i="7"/>
  <c r="V42" i="7" s="1"/>
  <c r="T39" i="7"/>
  <c r="T38" i="7"/>
  <c r="T37" i="7"/>
  <c r="T36" i="7"/>
  <c r="T35" i="7"/>
  <c r="T34" i="7"/>
  <c r="T33" i="7"/>
  <c r="T32" i="7"/>
  <c r="T31" i="7"/>
  <c r="V31" i="7" s="1"/>
  <c r="V32" i="7" l="1"/>
  <c r="V33" i="7"/>
  <c r="V34" i="7"/>
  <c r="V35" i="7"/>
  <c r="V36" i="7"/>
  <c r="V37" i="7"/>
  <c r="V38" i="7"/>
  <c r="V39" i="7"/>
  <c r="V40" i="7"/>
  <c r="V41" i="7"/>
  <c r="T43" i="7"/>
  <c r="V43" i="7" s="1"/>
  <c r="T44" i="7"/>
  <c r="V44" i="7" s="1"/>
  <c r="T45" i="7"/>
  <c r="V45" i="7" s="1"/>
  <c r="B25" i="4" l="1"/>
  <c r="B24" i="4"/>
  <c r="B22" i="4"/>
  <c r="B14" i="4"/>
  <c r="B13" i="4"/>
  <c r="B11" i="4"/>
  <c r="B10" i="4"/>
  <c r="B9" i="4"/>
  <c r="L6" i="4"/>
  <c r="L10" i="4"/>
  <c r="L11" i="4"/>
  <c r="L12" i="4"/>
  <c r="L13" i="4"/>
  <c r="L14" i="4"/>
  <c r="L15" i="4"/>
  <c r="L16" i="4"/>
  <c r="L17" i="4"/>
  <c r="L18" i="4"/>
  <c r="L19" i="4"/>
  <c r="L20" i="4"/>
  <c r="L21" i="4"/>
  <c r="L22" i="4"/>
  <c r="L23" i="4"/>
  <c r="L24" i="4"/>
  <c r="L25" i="4"/>
  <c r="L26" i="4"/>
  <c r="L27" i="4"/>
  <c r="L9" i="4"/>
  <c r="K6" i="4"/>
  <c r="B23" i="4" l="1"/>
  <c r="B21" i="4"/>
  <c r="B20" i="4"/>
  <c r="B19" i="4"/>
  <c r="B18" i="4"/>
  <c r="B16" i="4"/>
  <c r="B15" i="4"/>
  <c r="B12" i="4"/>
  <c r="B8" i="4"/>
  <c r="B26" i="4"/>
  <c r="I8" i="3" l="1"/>
  <c r="I21" i="14"/>
  <c r="G22" i="14" l="1"/>
  <c r="G23" i="14"/>
  <c r="I23" i="14" s="1"/>
  <c r="G27" i="14"/>
  <c r="I27" i="14" s="1"/>
  <c r="G25" i="14"/>
  <c r="I25" i="14" s="1"/>
  <c r="G29" i="14"/>
  <c r="I29" i="14" s="1"/>
  <c r="I22" i="14"/>
  <c r="G24" i="14"/>
  <c r="I24" i="14" s="1"/>
  <c r="G26" i="14"/>
  <c r="I26" i="14" s="1"/>
  <c r="G28" i="14"/>
  <c r="I28" i="14" s="1"/>
  <c r="F22" i="14"/>
  <c r="F24" i="14"/>
  <c r="F26" i="14"/>
  <c r="F28" i="14"/>
  <c r="F21" i="14"/>
  <c r="F23" i="14"/>
  <c r="F25" i="14"/>
  <c r="F27" i="14"/>
  <c r="F29" i="14"/>
  <c r="I9" i="4"/>
  <c r="G6" i="6"/>
  <c r="C4" i="6"/>
  <c r="K16" i="6" s="1"/>
  <c r="I34" i="3"/>
  <c r="I26" i="3"/>
  <c r="F30" i="14"/>
  <c r="H46" i="14"/>
  <c r="E46" i="14"/>
  <c r="B46" i="14"/>
  <c r="Q45" i="7"/>
  <c r="I47" i="7"/>
  <c r="I46" i="7"/>
  <c r="I45" i="7"/>
  <c r="I44" i="7"/>
  <c r="I43" i="7"/>
  <c r="Q39" i="7"/>
  <c r="I42" i="7"/>
  <c r="I41" i="7"/>
  <c r="I40" i="7"/>
  <c r="I39" i="7"/>
  <c r="I37" i="7"/>
  <c r="I36" i="7"/>
  <c r="I33" i="7"/>
  <c r="I32" i="7"/>
  <c r="Q31" i="7"/>
  <c r="I31" i="7"/>
  <c r="O23" i="7"/>
  <c r="P23" i="7" s="1"/>
  <c r="O17" i="7"/>
  <c r="P17" i="7" s="1"/>
  <c r="O13" i="7"/>
  <c r="P13" i="7" s="1"/>
  <c r="I26" i="4"/>
  <c r="I17" i="4"/>
  <c r="P20" i="15"/>
  <c r="N20" i="15"/>
  <c r="L20" i="15"/>
  <c r="P19" i="15"/>
  <c r="N19" i="15"/>
  <c r="L19" i="15"/>
  <c r="P18" i="15"/>
  <c r="N18" i="15"/>
  <c r="L18" i="15"/>
  <c r="P17" i="15"/>
  <c r="N17" i="15"/>
  <c r="L17" i="15"/>
  <c r="P16" i="15"/>
  <c r="N16" i="15"/>
  <c r="L16" i="15"/>
  <c r="P15" i="15"/>
  <c r="N15" i="15"/>
  <c r="P14" i="15"/>
  <c r="N14" i="15"/>
  <c r="L14" i="15"/>
  <c r="P13" i="15"/>
  <c r="N13" i="15"/>
  <c r="L13" i="15"/>
  <c r="P12" i="15"/>
  <c r="N12" i="15"/>
  <c r="L12" i="15"/>
  <c r="P11" i="15"/>
  <c r="N11" i="15"/>
  <c r="L11" i="15"/>
  <c r="P10" i="15"/>
  <c r="N10" i="15"/>
  <c r="L10" i="15"/>
  <c r="X36" i="10"/>
  <c r="W36" i="10"/>
  <c r="V36" i="10"/>
  <c r="U36" i="10"/>
  <c r="T36" i="10"/>
  <c r="S36" i="10"/>
  <c r="R36" i="10"/>
  <c r="Q36" i="10"/>
  <c r="P36" i="10"/>
  <c r="O36" i="10"/>
  <c r="N36" i="10"/>
  <c r="L49" i="6"/>
  <c r="N42" i="6" s="1"/>
  <c r="H27" i="4"/>
  <c r="H24" i="4"/>
  <c r="H23" i="4"/>
  <c r="H22" i="4"/>
  <c r="H21" i="4"/>
  <c r="H20" i="4"/>
  <c r="H19" i="4"/>
  <c r="H18" i="4"/>
  <c r="H16" i="4"/>
  <c r="H15" i="4"/>
  <c r="H14" i="4"/>
  <c r="H13" i="4"/>
  <c r="H12" i="4"/>
  <c r="H11" i="4"/>
  <c r="H9" i="4"/>
  <c r="H34" i="15"/>
  <c r="D34" i="15"/>
  <c r="C34" i="15" s="1"/>
  <c r="H31" i="15"/>
  <c r="D31" i="15"/>
  <c r="C31" i="15" s="1"/>
  <c r="H28" i="15"/>
  <c r="D28" i="15"/>
  <c r="C6" i="12"/>
  <c r="C7" i="12"/>
  <c r="C9" i="12"/>
  <c r="C10" i="12"/>
  <c r="C11" i="12"/>
  <c r="C12" i="12"/>
  <c r="C13" i="12"/>
  <c r="C14" i="12"/>
  <c r="C15" i="12"/>
  <c r="C16" i="12"/>
  <c r="C18" i="12"/>
  <c r="G25" i="12"/>
  <c r="G26" i="12"/>
  <c r="G27" i="12"/>
  <c r="G28" i="12"/>
  <c r="G29" i="12"/>
  <c r="G30" i="12"/>
  <c r="G31" i="12"/>
  <c r="G32" i="12"/>
  <c r="G10" i="15"/>
  <c r="G11" i="15"/>
  <c r="J11" i="15"/>
  <c r="G12" i="15"/>
  <c r="J12" i="15" s="1"/>
  <c r="G14" i="15"/>
  <c r="J14" i="15" s="1"/>
  <c r="G15" i="15"/>
  <c r="J15" i="15" s="1"/>
  <c r="G16" i="15"/>
  <c r="J16" i="15" s="1"/>
  <c r="G17" i="15"/>
  <c r="J17" i="15" s="1"/>
  <c r="G18" i="15"/>
  <c r="J18" i="15" s="1"/>
  <c r="G19" i="15"/>
  <c r="J19" i="15" s="1"/>
  <c r="G20" i="15"/>
  <c r="F36" i="10"/>
  <c r="G36" i="10"/>
  <c r="H36" i="10"/>
  <c r="I36" i="10"/>
  <c r="J36" i="10"/>
  <c r="K36" i="10"/>
  <c r="L36" i="10"/>
  <c r="C25" i="9"/>
  <c r="D25" i="9"/>
  <c r="E25" i="9"/>
  <c r="H25" i="9"/>
  <c r="K25" i="9"/>
  <c r="G25" i="9"/>
  <c r="J25" i="9"/>
  <c r="F25" i="9"/>
  <c r="I25" i="9"/>
  <c r="E39" i="9"/>
  <c r="G39" i="9"/>
  <c r="H39" i="9"/>
  <c r="I39" i="9"/>
  <c r="J39" i="9"/>
  <c r="K39" i="9"/>
  <c r="L39" i="9"/>
  <c r="F41" i="9"/>
  <c r="F42" i="9"/>
  <c r="F43" i="9"/>
  <c r="F44" i="9"/>
  <c r="F45" i="9"/>
  <c r="F46" i="9"/>
  <c r="F47" i="9"/>
  <c r="H13" i="8"/>
  <c r="H27" i="8"/>
  <c r="Q32" i="7"/>
  <c r="T11" i="7"/>
  <c r="Q34" i="7"/>
  <c r="Q35" i="7"/>
  <c r="O14" i="7"/>
  <c r="P14" i="7" s="1"/>
  <c r="Q37" i="7"/>
  <c r="T16" i="7"/>
  <c r="T17" i="7"/>
  <c r="Q40" i="7"/>
  <c r="T19" i="7"/>
  <c r="T20" i="7"/>
  <c r="Q43" i="7"/>
  <c r="T22" i="7"/>
  <c r="T23" i="7"/>
  <c r="E31" i="7"/>
  <c r="E32" i="7"/>
  <c r="E34" i="7"/>
  <c r="E35" i="7"/>
  <c r="E36" i="7"/>
  <c r="E38" i="7"/>
  <c r="E39" i="7"/>
  <c r="E40" i="7"/>
  <c r="E41" i="7"/>
  <c r="E42" i="7"/>
  <c r="E43" i="7"/>
  <c r="E44" i="7"/>
  <c r="E45" i="7"/>
  <c r="E46" i="7"/>
  <c r="E47" i="7"/>
  <c r="E4" i="6"/>
  <c r="G7" i="6"/>
  <c r="G9" i="6"/>
  <c r="G8" i="6"/>
  <c r="G10" i="6"/>
  <c r="G11" i="6"/>
  <c r="G12" i="6"/>
  <c r="G13" i="6"/>
  <c r="G14" i="6"/>
  <c r="G15" i="6"/>
  <c r="G18" i="6"/>
  <c r="G19" i="6"/>
  <c r="G20" i="6"/>
  <c r="G21" i="6"/>
  <c r="G22" i="6"/>
  <c r="G23" i="6"/>
  <c r="G24" i="6"/>
  <c r="G25" i="6"/>
  <c r="G26" i="6"/>
  <c r="G27" i="6"/>
  <c r="G28" i="6"/>
  <c r="G29" i="6"/>
  <c r="G30" i="6"/>
  <c r="G31" i="6"/>
  <c r="N4" i="6"/>
  <c r="N5" i="6"/>
  <c r="N6" i="6"/>
  <c r="N7" i="6"/>
  <c r="N8" i="6"/>
  <c r="N9" i="6"/>
  <c r="N10" i="6"/>
  <c r="N11" i="6"/>
  <c r="N12" i="6"/>
  <c r="N13" i="6"/>
  <c r="N14" i="6"/>
  <c r="N15" i="6"/>
  <c r="N16" i="6"/>
  <c r="N17" i="6"/>
  <c r="N18" i="6"/>
  <c r="N19" i="6"/>
  <c r="C16" i="6"/>
  <c r="E16" i="6"/>
  <c r="J20" i="6"/>
  <c r="L20" i="6"/>
  <c r="E49" i="6"/>
  <c r="G38" i="6" s="1"/>
  <c r="D6" i="4"/>
  <c r="F9" i="4"/>
  <c r="G9" i="4" s="1"/>
  <c r="F10" i="4"/>
  <c r="G10" i="4" s="1"/>
  <c r="I10" i="4"/>
  <c r="F11" i="4"/>
  <c r="G11" i="4" s="1"/>
  <c r="I11" i="4"/>
  <c r="F12" i="4"/>
  <c r="G12" i="4" s="1"/>
  <c r="I12" i="4"/>
  <c r="F13" i="4"/>
  <c r="G13" i="4" s="1"/>
  <c r="I13" i="4"/>
  <c r="F14" i="4"/>
  <c r="G14" i="4" s="1"/>
  <c r="I14" i="4"/>
  <c r="F15" i="4"/>
  <c r="G15" i="4" s="1"/>
  <c r="I15" i="4"/>
  <c r="F16" i="4"/>
  <c r="G16" i="4" s="1"/>
  <c r="I16" i="4"/>
  <c r="F18" i="4"/>
  <c r="G18" i="4" s="1"/>
  <c r="I18" i="4"/>
  <c r="F19" i="4"/>
  <c r="G19" i="4" s="1"/>
  <c r="I19" i="4"/>
  <c r="F20" i="4"/>
  <c r="G20" i="4" s="1"/>
  <c r="I20" i="4"/>
  <c r="F21" i="4"/>
  <c r="G21" i="4" s="1"/>
  <c r="I21" i="4"/>
  <c r="F22" i="4"/>
  <c r="G22" i="4" s="1"/>
  <c r="I22" i="4"/>
  <c r="F23" i="4"/>
  <c r="G23" i="4" s="1"/>
  <c r="I23" i="4"/>
  <c r="F24" i="4"/>
  <c r="G24" i="4" s="1"/>
  <c r="I24" i="4"/>
  <c r="F25" i="4"/>
  <c r="G25" i="4" s="1"/>
  <c r="I25" i="4"/>
  <c r="F27" i="4"/>
  <c r="G27" i="4" s="1"/>
  <c r="I27" i="4"/>
  <c r="F28" i="4"/>
  <c r="G28" i="4" s="1"/>
  <c r="I28" i="4"/>
  <c r="I9" i="3"/>
  <c r="I11" i="3"/>
  <c r="I15" i="3"/>
  <c r="I17" i="3"/>
  <c r="I19" i="3"/>
  <c r="D5" i="2"/>
  <c r="H15" i="8"/>
  <c r="F43" i="8"/>
  <c r="H41" i="8"/>
  <c r="H26" i="4"/>
  <c r="I52" i="3" l="1"/>
  <c r="I12" i="3"/>
  <c r="I13" i="3"/>
  <c r="I32" i="3"/>
  <c r="I38" i="3"/>
  <c r="I43" i="3"/>
  <c r="I55" i="3"/>
  <c r="I51" i="3"/>
  <c r="I27" i="3"/>
  <c r="I23" i="3"/>
  <c r="I29" i="3"/>
  <c r="I25" i="3"/>
  <c r="I37" i="3"/>
  <c r="I42" i="3"/>
  <c r="I54" i="3"/>
  <c r="I50" i="3"/>
  <c r="I20" i="3"/>
  <c r="I24" i="3"/>
  <c r="I45" i="3"/>
  <c r="C5" i="2"/>
  <c r="B5" i="2" s="1"/>
  <c r="I16" i="3"/>
  <c r="C28" i="15"/>
  <c r="D36" i="10"/>
  <c r="P35" i="10" s="1"/>
  <c r="H6" i="4"/>
  <c r="I6" i="4"/>
  <c r="T18" i="7"/>
  <c r="H23" i="8"/>
  <c r="H31" i="8"/>
  <c r="L25" i="9"/>
  <c r="O9" i="7"/>
  <c r="P9" i="7" s="1"/>
  <c r="O12" i="7"/>
  <c r="P12" i="7" s="1"/>
  <c r="T13" i="7"/>
  <c r="O16" i="7"/>
  <c r="P16" i="7" s="1"/>
  <c r="O22" i="7"/>
  <c r="P22" i="7" s="1"/>
  <c r="Q33" i="7"/>
  <c r="Q36" i="7"/>
  <c r="Q38" i="7"/>
  <c r="Q41" i="7"/>
  <c r="Q44" i="7"/>
  <c r="T10" i="7"/>
  <c r="T14" i="7"/>
  <c r="H29" i="8"/>
  <c r="O11" i="7"/>
  <c r="P11" i="7" s="1"/>
  <c r="T12" i="7"/>
  <c r="O15" i="7"/>
  <c r="P15" i="7" s="1"/>
  <c r="O19" i="7"/>
  <c r="P19" i="7" s="1"/>
  <c r="O21" i="7"/>
  <c r="H33" i="8"/>
  <c r="C39" i="9"/>
  <c r="F39" i="9"/>
  <c r="B25" i="9"/>
  <c r="O10" i="7"/>
  <c r="P10" i="7" s="1"/>
  <c r="T15" i="7"/>
  <c r="O18" i="7"/>
  <c r="P18" i="7" s="1"/>
  <c r="T21" i="7"/>
  <c r="N20" i="6"/>
  <c r="M8" i="6"/>
  <c r="F6" i="6"/>
  <c r="D6" i="6"/>
  <c r="G4" i="6"/>
  <c r="F6" i="4"/>
  <c r="G6" i="4" s="1"/>
  <c r="N39" i="6"/>
  <c r="N44" i="6"/>
  <c r="N43" i="6"/>
  <c r="N37" i="6"/>
  <c r="N46" i="6"/>
  <c r="N47" i="6"/>
  <c r="N40" i="6"/>
  <c r="N41" i="6"/>
  <c r="N38" i="6"/>
  <c r="N48" i="6"/>
  <c r="N45" i="6"/>
  <c r="G41" i="6"/>
  <c r="G39" i="6"/>
  <c r="D22" i="6"/>
  <c r="I31" i="3"/>
  <c r="I30" i="3"/>
  <c r="I18" i="3"/>
  <c r="I49" i="3"/>
  <c r="I46" i="3"/>
  <c r="I53" i="3"/>
  <c r="I44" i="3"/>
  <c r="I35" i="3"/>
  <c r="I10" i="3"/>
  <c r="G45" i="6"/>
  <c r="M17" i="6"/>
  <c r="D12" i="6"/>
  <c r="D10" i="6"/>
  <c r="F27" i="6"/>
  <c r="K11" i="6"/>
  <c r="K15" i="6"/>
  <c r="D8" i="6"/>
  <c r="K5" i="6"/>
  <c r="K17" i="6"/>
  <c r="D25" i="6"/>
  <c r="K7" i="6"/>
  <c r="D19" i="6"/>
  <c r="D7" i="6"/>
  <c r="K13" i="6"/>
  <c r="D28" i="6"/>
  <c r="D18" i="6"/>
  <c r="D26" i="6"/>
  <c r="D23" i="6"/>
  <c r="D9" i="6"/>
  <c r="K6" i="6"/>
  <c r="F18" i="6"/>
  <c r="F21" i="6"/>
  <c r="F24" i="6"/>
  <c r="F19" i="6"/>
  <c r="M14" i="6"/>
  <c r="F28" i="6"/>
  <c r="F23" i="6"/>
  <c r="M13" i="6"/>
  <c r="M12" i="6"/>
  <c r="M18" i="6"/>
  <c r="M5" i="6"/>
  <c r="M9" i="6"/>
  <c r="F10" i="6"/>
  <c r="F9" i="6"/>
  <c r="F7" i="6"/>
  <c r="F13" i="6"/>
  <c r="K18" i="6"/>
  <c r="K12" i="6"/>
  <c r="K4" i="6"/>
  <c r="D20" i="6"/>
  <c r="D11" i="6"/>
  <c r="D24" i="6"/>
  <c r="D30" i="6"/>
  <c r="F20" i="6"/>
  <c r="M15" i="6"/>
  <c r="F15" i="6"/>
  <c r="F12" i="6"/>
  <c r="M7" i="6"/>
  <c r="F26" i="6"/>
  <c r="F14" i="6"/>
  <c r="F22" i="6"/>
  <c r="F11" i="6"/>
  <c r="F8" i="6"/>
  <c r="M4" i="6"/>
  <c r="M19" i="6"/>
  <c r="F29" i="6"/>
  <c r="M10" i="6"/>
  <c r="F30" i="6"/>
  <c r="K19" i="6"/>
  <c r="K14" i="6"/>
  <c r="K8" i="6"/>
  <c r="D31" i="6"/>
  <c r="D21" i="6"/>
  <c r="D13" i="6"/>
  <c r="K10" i="6"/>
  <c r="D27" i="6"/>
  <c r="D14" i="6"/>
  <c r="U35" i="10"/>
  <c r="G44" i="6"/>
  <c r="G40" i="6"/>
  <c r="H21" i="8"/>
  <c r="G16" i="6"/>
  <c r="M11" i="6"/>
  <c r="K9" i="6"/>
  <c r="F25" i="6"/>
  <c r="M16" i="6"/>
  <c r="M6" i="6"/>
  <c r="F31" i="6"/>
  <c r="D29" i="6"/>
  <c r="D15" i="6"/>
  <c r="H25" i="8"/>
  <c r="G47" i="6"/>
  <c r="G46" i="6"/>
  <c r="H35" i="8"/>
  <c r="H37" i="8"/>
  <c r="G37" i="6"/>
  <c r="H39" i="8"/>
  <c r="G42" i="6"/>
  <c r="G43" i="6"/>
  <c r="G48" i="6"/>
  <c r="H43" i="8"/>
  <c r="P44" i="2" l="1"/>
  <c r="O45" i="2"/>
  <c r="O44" i="2"/>
  <c r="P45" i="2"/>
  <c r="O43" i="2"/>
  <c r="P43" i="2"/>
  <c r="N44" i="2"/>
  <c r="N45" i="2"/>
  <c r="N43" i="2"/>
  <c r="I36" i="3"/>
  <c r="I33" i="3"/>
  <c r="I22" i="3"/>
  <c r="I48" i="3"/>
  <c r="I40" i="3"/>
  <c r="I14" i="3"/>
  <c r="I28" i="3"/>
  <c r="X35" i="10"/>
  <c r="S35" i="10"/>
  <c r="I35" i="10"/>
  <c r="M35" i="10"/>
  <c r="K35" i="10"/>
  <c r="T35" i="10"/>
  <c r="L35" i="10"/>
  <c r="O35" i="10"/>
  <c r="G35" i="10"/>
  <c r="R35" i="10"/>
  <c r="W35" i="10"/>
  <c r="Q35" i="10"/>
  <c r="N35" i="10"/>
  <c r="V35" i="10"/>
  <c r="J35" i="10"/>
  <c r="H35" i="10"/>
  <c r="F35" i="10"/>
  <c r="F16" i="6"/>
  <c r="N49" i="6"/>
  <c r="I39" i="3"/>
  <c r="I47" i="3"/>
  <c r="K32" i="14"/>
  <c r="M20" i="6"/>
  <c r="K20" i="6"/>
  <c r="D4" i="6"/>
  <c r="F4" i="6"/>
  <c r="D16" i="6"/>
  <c r="G49" i="6"/>
  <c r="J6" i="3" l="1"/>
  <c r="J7" i="3"/>
  <c r="J21" i="3"/>
  <c r="D35" i="10"/>
  <c r="J50" i="3"/>
  <c r="J25" i="3"/>
  <c r="J29" i="3"/>
  <c r="J33" i="3"/>
  <c r="J37" i="3"/>
  <c r="J41" i="3"/>
  <c r="J45" i="3"/>
  <c r="J49" i="3"/>
  <c r="J54" i="3"/>
  <c r="J17" i="3"/>
  <c r="J14" i="3"/>
  <c r="J12" i="3"/>
  <c r="J9" i="3"/>
  <c r="J32" i="3"/>
  <c r="J40" i="3"/>
  <c r="J53" i="3"/>
  <c r="J22" i="3"/>
  <c r="J26" i="3"/>
  <c r="J30" i="3"/>
  <c r="J34" i="3"/>
  <c r="J38" i="3"/>
  <c r="J42" i="3"/>
  <c r="J46" i="3"/>
  <c r="J51" i="3"/>
  <c r="J55" i="3"/>
  <c r="J18" i="3"/>
  <c r="J13" i="3"/>
  <c r="J48" i="3"/>
  <c r="J20" i="3"/>
  <c r="J23" i="3"/>
  <c r="J27" i="3"/>
  <c r="J31" i="3"/>
  <c r="J35" i="3"/>
  <c r="J39" i="3"/>
  <c r="J43" i="3"/>
  <c r="J47" i="3"/>
  <c r="J52" i="3"/>
  <c r="J15" i="3"/>
  <c r="J19" i="3"/>
  <c r="J10" i="3"/>
  <c r="J24" i="3"/>
  <c r="J28" i="3"/>
  <c r="J36" i="3"/>
  <c r="J44" i="3"/>
  <c r="J16" i="3"/>
  <c r="J11" i="3"/>
  <c r="I6" i="3"/>
</calcChain>
</file>

<file path=xl/comments1.xml><?xml version="1.0" encoding="utf-8"?>
<comments xmlns="http://schemas.openxmlformats.org/spreadsheetml/2006/main">
  <authors>
    <author>情報政策課</author>
  </authors>
  <commentList>
    <comment ref="B11" authorId="0" shapeId="0">
      <text>
        <r>
          <rPr>
            <b/>
            <sz val="9"/>
            <color indexed="81"/>
            <rFont val="ＭＳ Ｐゴシック"/>
            <family val="3"/>
            <charset val="128"/>
          </rPr>
          <t>H23.12.22　宇治川改修池（188.39㎡）の増分をH23年版で載せるべきだが、単位に満たないため、数値はそのまま。</t>
        </r>
      </text>
    </comment>
    <comment ref="B26" authorId="0" shapeId="0">
      <text>
        <r>
          <rPr>
            <b/>
            <sz val="9"/>
            <color indexed="81"/>
            <rFont val="ＭＳ Ｐゴシック"/>
            <family val="3"/>
            <charset val="128"/>
          </rPr>
          <t>H24.7月5日編入の西洲2丁目の埋立（25944.60㎡）・ふ頭用地分の増</t>
        </r>
      </text>
    </comment>
  </commentList>
</comments>
</file>

<file path=xl/comments2.xml><?xml version="1.0" encoding="utf-8"?>
<comments xmlns="http://schemas.openxmlformats.org/spreadsheetml/2006/main">
  <authors>
    <author>情報政策課</author>
  </authors>
  <commentList>
    <comment ref="C4" authorId="0" shapeId="0">
      <text>
        <r>
          <rPr>
            <b/>
            <sz val="9"/>
            <color indexed="81"/>
            <rFont val="ＭＳ Ｐゴシック"/>
            <family val="3"/>
            <charset val="128"/>
          </rPr>
          <t>(24)沖縄県の転入者数と一致</t>
        </r>
      </text>
    </comment>
    <comment ref="E4" authorId="0" shapeId="0">
      <text>
        <r>
          <rPr>
            <b/>
            <sz val="9"/>
            <color indexed="81"/>
            <rFont val="ＭＳ Ｐゴシック"/>
            <family val="3"/>
            <charset val="128"/>
          </rPr>
          <t>（24）沖縄県の転出者数と一致</t>
        </r>
      </text>
    </comment>
  </commentList>
</comments>
</file>

<file path=xl/sharedStrings.xml><?xml version="1.0" encoding="utf-8"?>
<sst xmlns="http://schemas.openxmlformats.org/spreadsheetml/2006/main" count="1589" uniqueCount="722">
  <si>
    <t>　　（6）  住民登録人口の推移　（P39参照）</t>
    <rPh sb="21" eb="23">
      <t>サンショウ</t>
    </rPh>
    <phoneticPr fontId="17"/>
  </si>
  <si>
    <t>　　　　（7）  国籍別外国人登録数　（P44参照）</t>
    <rPh sb="9" eb="11">
      <t>コクセキ</t>
    </rPh>
    <rPh sb="11" eb="12">
      <t>ベツ</t>
    </rPh>
    <rPh sb="12" eb="14">
      <t>ガイコク</t>
    </rPh>
    <rPh sb="14" eb="15">
      <t>ジン</t>
    </rPh>
    <rPh sb="17" eb="18">
      <t>カズ</t>
    </rPh>
    <rPh sb="23" eb="25">
      <t>サンショウ</t>
    </rPh>
    <phoneticPr fontId="17"/>
  </si>
  <si>
    <t>Ａ</t>
    <phoneticPr fontId="17"/>
  </si>
  <si>
    <t>△Ｄ</t>
    <phoneticPr fontId="17"/>
  </si>
  <si>
    <t>Ｂ</t>
    <phoneticPr fontId="17"/>
  </si>
  <si>
    <t>22年</t>
    <rPh sb="2" eb="3">
      <t>ネン</t>
    </rPh>
    <phoneticPr fontId="17"/>
  </si>
  <si>
    <t>（10）</t>
    <phoneticPr fontId="17"/>
  </si>
  <si>
    <t>増加率</t>
    <rPh sb="0" eb="2">
      <t>ゾウカ</t>
    </rPh>
    <rPh sb="2" eb="3">
      <t>リツ</t>
    </rPh>
    <phoneticPr fontId="17"/>
  </si>
  <si>
    <t>100歳以上</t>
    <rPh sb="3" eb="6">
      <t>サイイジョウ</t>
    </rPh>
    <phoneticPr fontId="17"/>
  </si>
  <si>
    <t>（34） 　沖縄県、市部、郡部別、人口集中地区（Ｄ・Ｉ・Ｄｓ）の年齢（５歳階級）別人口</t>
    <phoneticPr fontId="17"/>
  </si>
  <si>
    <t>（単位：世帯、人、％）</t>
  </si>
  <si>
    <t>年　　次</t>
  </si>
  <si>
    <t>世 帯 数</t>
  </si>
  <si>
    <t>対　前　年</t>
  </si>
  <si>
    <t>総　　数</t>
  </si>
  <si>
    <t>男</t>
  </si>
  <si>
    <t>女</t>
  </si>
  <si>
    <t>人口増減数</t>
  </si>
  <si>
    <t>人口増減率</t>
  </si>
  <si>
    <t>平成17年</t>
  </si>
  <si>
    <t>平成22年</t>
  </si>
  <si>
    <t xml:space="preserve">　　　　　　　　　　　　　　　　　　　　　　　　　　　　　　　　　　　　　　　　　　　　　　　　　  </t>
  </si>
  <si>
    <t>（単位：人）</t>
  </si>
  <si>
    <t>（15歳～64歳）</t>
  </si>
  <si>
    <t xml:space="preserve"> </t>
  </si>
  <si>
    <t>（単位：人、％、歳）</t>
  </si>
  <si>
    <t>年　  齢</t>
  </si>
  <si>
    <t>総　数</t>
  </si>
  <si>
    <t xml:space="preserve">  総　　数</t>
  </si>
  <si>
    <t>０</t>
  </si>
  <si>
    <t>１</t>
  </si>
  <si>
    <t>２</t>
  </si>
  <si>
    <t>３</t>
  </si>
  <si>
    <t>４</t>
  </si>
  <si>
    <t xml:space="preserve"> ０ ～ ４歳</t>
  </si>
  <si>
    <t xml:space="preserve"> 30 ～ 34歳</t>
  </si>
  <si>
    <t xml:space="preserve"> 60 ～ 64歳</t>
  </si>
  <si>
    <t xml:space="preserve"> 90 ～ 94歳</t>
  </si>
  <si>
    <t>５</t>
  </si>
  <si>
    <t>６</t>
  </si>
  <si>
    <t>７</t>
  </si>
  <si>
    <t>８</t>
  </si>
  <si>
    <t>９</t>
  </si>
  <si>
    <t xml:space="preserve"> ５ ～ ９歳</t>
  </si>
  <si>
    <t xml:space="preserve"> 35 ～ 39歳</t>
  </si>
  <si>
    <t xml:space="preserve"> 65 ～ 69歳</t>
  </si>
  <si>
    <t xml:space="preserve"> 95 ～ 99歳</t>
  </si>
  <si>
    <t xml:space="preserve"> 10 ～ 14歳</t>
  </si>
  <si>
    <t xml:space="preserve"> 40 ～ 44歳</t>
  </si>
  <si>
    <t xml:space="preserve"> 70 ～ 74歳</t>
  </si>
  <si>
    <t>100 ～ 104歳</t>
  </si>
  <si>
    <t xml:space="preserve">  105歳以上</t>
  </si>
  <si>
    <t xml:space="preserve">  （再掲）</t>
  </si>
  <si>
    <t xml:space="preserve">  20歳以上</t>
  </si>
  <si>
    <t xml:space="preserve"> 15 ～ 19歳</t>
  </si>
  <si>
    <t xml:space="preserve"> 45 ～ 49歳</t>
  </si>
  <si>
    <t xml:space="preserve"> 75 ～ 79歳</t>
  </si>
  <si>
    <t xml:space="preserve">  15～49歳</t>
  </si>
  <si>
    <t xml:space="preserve">  60歳以上</t>
  </si>
  <si>
    <t xml:space="preserve">  70歳以上</t>
  </si>
  <si>
    <t xml:space="preserve">  75歳以上</t>
  </si>
  <si>
    <t xml:space="preserve">  15歳未満</t>
  </si>
  <si>
    <t xml:space="preserve">  15～64歳</t>
  </si>
  <si>
    <t xml:space="preserve"> 20 ～ 24歳</t>
  </si>
  <si>
    <t xml:space="preserve"> 50 ～ 54歳</t>
  </si>
  <si>
    <t xml:space="preserve"> 80 ～ 84歳</t>
  </si>
  <si>
    <t xml:space="preserve">  65歳以上</t>
  </si>
  <si>
    <t>年齢別割合％</t>
  </si>
  <si>
    <t xml:space="preserve"> 25 ～ 29歳</t>
  </si>
  <si>
    <t xml:space="preserve"> 55 ～ 59歳</t>
  </si>
  <si>
    <t xml:space="preserve"> 85 ～ 89歳</t>
  </si>
  <si>
    <t xml:space="preserve">  平均年齢</t>
  </si>
  <si>
    <t xml:space="preserve">                                                                                                      </t>
  </si>
  <si>
    <t xml:space="preserve">（19）  行政区別登録人口及び人口比重（各年共12月末日現在）  </t>
  </si>
  <si>
    <t>（単位：世帯、人、パーミル）</t>
  </si>
  <si>
    <t>行　政　区　分</t>
  </si>
  <si>
    <t>人口</t>
  </si>
  <si>
    <t>前年に対</t>
  </si>
  <si>
    <t>人口比重</t>
  </si>
  <si>
    <t>増 加 数</t>
  </si>
  <si>
    <t>総　　　　　数</t>
  </si>
  <si>
    <t>北　地　区</t>
  </si>
  <si>
    <t>総　　　数</t>
  </si>
  <si>
    <t>牧港</t>
  </si>
  <si>
    <t>牧港ハイツ</t>
  </si>
  <si>
    <t>上野</t>
  </si>
  <si>
    <t>マチナトタウン</t>
  </si>
  <si>
    <t>浦添市街地住宅</t>
  </si>
  <si>
    <t>港川</t>
  </si>
  <si>
    <t>港川崎原</t>
  </si>
  <si>
    <t>浦城</t>
  </si>
  <si>
    <t>伊祖</t>
  </si>
  <si>
    <t>浅野浦</t>
  </si>
  <si>
    <t>緑ヶ丘</t>
  </si>
  <si>
    <t>城間</t>
  </si>
  <si>
    <t>屋富祖</t>
  </si>
  <si>
    <t>宮城</t>
  </si>
  <si>
    <t>仲西</t>
  </si>
  <si>
    <t>大平</t>
  </si>
  <si>
    <t>西　地　区</t>
  </si>
  <si>
    <t>神森</t>
  </si>
  <si>
    <t>勢理客</t>
  </si>
  <si>
    <t>小湾</t>
  </si>
  <si>
    <t>内間</t>
  </si>
  <si>
    <t>仲間</t>
  </si>
  <si>
    <t>茶山</t>
  </si>
  <si>
    <t>安波茶</t>
  </si>
  <si>
    <t>浦添ﾆｭｰﾀｳﾝ</t>
  </si>
  <si>
    <t>浦添ハイツ</t>
  </si>
  <si>
    <t>前田</t>
  </si>
  <si>
    <t>浦添ｸﾞﾘｰﾝﾊｲﾂ</t>
  </si>
  <si>
    <t>前田公務員宿舎</t>
  </si>
  <si>
    <t>経塚</t>
  </si>
  <si>
    <t>沢岻</t>
  </si>
  <si>
    <t>県営沢岻高層住宅</t>
  </si>
  <si>
    <t>県営経塚団地</t>
  </si>
  <si>
    <t>西原一区</t>
  </si>
  <si>
    <t>西原二区</t>
  </si>
  <si>
    <t>浦西</t>
  </si>
  <si>
    <t>広栄</t>
  </si>
  <si>
    <t>陽迎橋</t>
  </si>
  <si>
    <t>当山</t>
  </si>
  <si>
    <t>当山ハイツ</t>
  </si>
  <si>
    <t>／</t>
  </si>
  <si>
    <t>ｷｬﾝﾌﾟｷﾝｻﾞｰ</t>
  </si>
  <si>
    <t xml:space="preserve">(20）　字別人口増加率及び人口密度（各年共12月末日現在） </t>
  </si>
  <si>
    <t>字　　別</t>
  </si>
  <si>
    <t>面　　 積       　　（k㎡）</t>
  </si>
  <si>
    <t>人　　　　　口</t>
  </si>
  <si>
    <t>人　　口
増 加 数</t>
  </si>
  <si>
    <t>人　 　口
増加率(％)</t>
  </si>
  <si>
    <t>人口密度</t>
  </si>
  <si>
    <t>総      数</t>
  </si>
  <si>
    <t>仲　　　間</t>
  </si>
  <si>
    <t>安　波　茶</t>
  </si>
  <si>
    <t>伊　　　祖</t>
  </si>
  <si>
    <t>牧　　　港</t>
  </si>
  <si>
    <t>港　　　川</t>
  </si>
  <si>
    <t>城　　　間</t>
  </si>
  <si>
    <t>屋　富　祖</t>
  </si>
  <si>
    <t>宮　　　城</t>
  </si>
  <si>
    <t>仲　　　西</t>
  </si>
  <si>
    <t>小　　　湾</t>
  </si>
  <si>
    <t>-</t>
  </si>
  <si>
    <t>勢　理　客</t>
  </si>
  <si>
    <t>内　　　間</t>
  </si>
  <si>
    <t>沢　　　岻</t>
  </si>
  <si>
    <t>経　　　塚</t>
  </si>
  <si>
    <t>前　　　田</t>
  </si>
  <si>
    <t>西　　　原</t>
  </si>
  <si>
    <t>当　　　山</t>
  </si>
  <si>
    <t>大　　　平</t>
  </si>
  <si>
    <t>西　　　洲</t>
  </si>
  <si>
    <t>伊 奈 武 瀬</t>
  </si>
  <si>
    <t xml:space="preserve">（注）面積は、平成６年の面積に埋立面積等を加算した数値である。                  　　          　　 </t>
  </si>
  <si>
    <t xml:space="preserve">　　　伊奈武瀬、小湾、勢理客については、平成14年度住居表示実施による数値である。 </t>
  </si>
  <si>
    <t>（21）  国籍別外国人登録数（各年共12月末現在）</t>
  </si>
  <si>
    <t>国　　　名</t>
  </si>
  <si>
    <t>総数</t>
  </si>
  <si>
    <t>米国</t>
  </si>
  <si>
    <t>中国</t>
  </si>
  <si>
    <t>韓国・朝鮮</t>
  </si>
  <si>
    <t>フィリピン</t>
  </si>
  <si>
    <t>ベトナム</t>
  </si>
  <si>
    <t>タイ</t>
  </si>
  <si>
    <t>カナダ</t>
  </si>
  <si>
    <t>ブラジル</t>
  </si>
  <si>
    <t>アルゼンチン</t>
  </si>
  <si>
    <t>ペ　ル　ー</t>
  </si>
  <si>
    <t>ボリビア</t>
  </si>
  <si>
    <t>英　　　国</t>
  </si>
  <si>
    <t>そ　の　他</t>
  </si>
  <si>
    <t>資料：市民課</t>
  </si>
  <si>
    <t>（22）　人口動態の推移</t>
  </si>
  <si>
    <t>（単位：人、組）</t>
  </si>
  <si>
    <t>年　別</t>
  </si>
  <si>
    <t>人口増加</t>
  </si>
  <si>
    <t>自　　然　　動　　態</t>
  </si>
  <si>
    <t>社　　会　　動　　態</t>
  </si>
  <si>
    <t>自然増加</t>
  </si>
  <si>
    <t>出　生</t>
  </si>
  <si>
    <t>死　亡</t>
  </si>
  <si>
    <t>社会増加</t>
  </si>
  <si>
    <t>転　入</t>
  </si>
  <si>
    <t>転　出</t>
  </si>
  <si>
    <t>婚  姻</t>
  </si>
  <si>
    <t>離  婚</t>
  </si>
  <si>
    <t>Ａ＋Ｂ</t>
  </si>
  <si>
    <t>A＝(1)-(2)</t>
  </si>
  <si>
    <t>（１)</t>
  </si>
  <si>
    <t>（２）</t>
  </si>
  <si>
    <t>B＝(3)-(4)</t>
  </si>
  <si>
    <t>（３)</t>
  </si>
  <si>
    <t>（４）</t>
  </si>
  <si>
    <t>（単位：人、％）</t>
  </si>
  <si>
    <t>市町村別</t>
  </si>
  <si>
    <t>移動率</t>
  </si>
  <si>
    <t>総計</t>
  </si>
  <si>
    <t>西原町</t>
  </si>
  <si>
    <t>与那原町</t>
  </si>
  <si>
    <t>那覇市</t>
  </si>
  <si>
    <t>八重瀬町</t>
  </si>
  <si>
    <t>うるま市</t>
  </si>
  <si>
    <t>南風原町</t>
  </si>
  <si>
    <t>宮古島市</t>
  </si>
  <si>
    <t>久米島町</t>
  </si>
  <si>
    <t>宜野湾市</t>
  </si>
  <si>
    <t>渡嘉敷村</t>
  </si>
  <si>
    <t>南城市</t>
  </si>
  <si>
    <t>座間味村</t>
  </si>
  <si>
    <t>石垣市</t>
  </si>
  <si>
    <t>粟国村</t>
  </si>
  <si>
    <t>名護市</t>
  </si>
  <si>
    <t>渡名喜村</t>
  </si>
  <si>
    <t>糸満市</t>
  </si>
  <si>
    <t>南大東村</t>
  </si>
  <si>
    <t>沖縄市</t>
  </si>
  <si>
    <t>北大東村</t>
  </si>
  <si>
    <t>豊見城市</t>
  </si>
  <si>
    <t>伊平屋村</t>
  </si>
  <si>
    <t>市部計</t>
  </si>
  <si>
    <t>伊是名村</t>
  </si>
  <si>
    <t>多良間村</t>
  </si>
  <si>
    <t>国頭村</t>
  </si>
  <si>
    <t>竹富町</t>
  </si>
  <si>
    <t>大宜味村</t>
  </si>
  <si>
    <t>与那国町</t>
  </si>
  <si>
    <t>東村</t>
  </si>
  <si>
    <t>郡部計</t>
  </si>
  <si>
    <t>今帰仁村</t>
  </si>
  <si>
    <t>本部町</t>
  </si>
  <si>
    <t>恩納村</t>
  </si>
  <si>
    <t>宜野座村</t>
  </si>
  <si>
    <t>金武町</t>
  </si>
  <si>
    <t>伊江村</t>
  </si>
  <si>
    <t>読谷村</t>
  </si>
  <si>
    <t>嘉手納町</t>
  </si>
  <si>
    <t>北谷町</t>
  </si>
  <si>
    <t>北中城村</t>
  </si>
  <si>
    <t>中城村</t>
  </si>
  <si>
    <t>沖縄県</t>
  </si>
  <si>
    <t>国外</t>
  </si>
  <si>
    <t xml:space="preserve">                                                                      　　　　　　　　　 </t>
  </si>
  <si>
    <t>　</t>
  </si>
  <si>
    <t>市  町  村  別</t>
  </si>
  <si>
    <t>面　　積</t>
  </si>
  <si>
    <t>世　帯　数</t>
  </si>
  <si>
    <t>人  　  　　　　　  　  口</t>
  </si>
  <si>
    <t xml:space="preserve">  人　　口</t>
  </si>
  <si>
    <t>人　　口　　比　　重</t>
  </si>
  <si>
    <t>１ｋ㎡当り人口密度</t>
  </si>
  <si>
    <t>増　加　数</t>
  </si>
  <si>
    <t>増 加 率</t>
  </si>
  <si>
    <t>比重の移動</t>
  </si>
  <si>
    <t>浦添市</t>
  </si>
  <si>
    <t>（26）  市町村別人口増加のタイプ</t>
  </si>
  <si>
    <t>（26）  市町村別人口増加のタイプ（続き）</t>
  </si>
  <si>
    <t>平　成　７　年　～　平　成　１２　年</t>
  </si>
  <si>
    <t>平　成　１２　年　～　平　成　１７　年</t>
  </si>
  <si>
    <t>平　成　１７　年　～　平　成　２２　年</t>
  </si>
  <si>
    <t>タ イ プ</t>
  </si>
  <si>
    <t>Ａ</t>
  </si>
  <si>
    <t>Ｂ</t>
  </si>
  <si>
    <t>Ｃ</t>
  </si>
  <si>
    <t>豊見城村</t>
  </si>
  <si>
    <t>(注）平成14年度から豊見城は市制施行している。</t>
  </si>
  <si>
    <t>※ タイプ・・・国勢調査による市町村の人口をもとにして、出生死亡数法によって、市町村別の社会増加数を</t>
  </si>
  <si>
    <t>　　    　 　　推計し、８つのタイプに分けた。</t>
  </si>
  <si>
    <t>①Ａタイプ・・・自然増加＞社会減少</t>
  </si>
  <si>
    <t>⑤△Ａタイプ・・・自然減少＞社会増加</t>
  </si>
  <si>
    <t>②Ｂタイプ・・・自然増加＞社会増加</t>
  </si>
  <si>
    <t>⑥△Ｂタイプ・・・自然減少＞社会減少</t>
  </si>
  <si>
    <t>③Ｃタイプ・・・自然増加＜社会増加</t>
  </si>
  <si>
    <t>⑦△Ｃタイプ・・・自然減少＜社会減少</t>
  </si>
  <si>
    <t>④Ｄタイプ・・・自然減少＜社会増加</t>
  </si>
  <si>
    <t>⑧△Ｄタイプ・・・自然増加＜社会減少</t>
  </si>
  <si>
    <t>人口の推移</t>
  </si>
  <si>
    <t>（27）  国勢調査人口の推移（各年共10月１日現在）</t>
  </si>
  <si>
    <t>人　　　　　　  　口</t>
  </si>
  <si>
    <t>一  世  帯
当 り 人 員</t>
  </si>
  <si>
    <t xml:space="preserve">  対　前　回</t>
  </si>
  <si>
    <t xml:space="preserve">  人口増加率</t>
  </si>
  <si>
    <t xml:space="preserve">    （％）</t>
  </si>
  <si>
    <t>…</t>
  </si>
  <si>
    <t>平成２年</t>
  </si>
  <si>
    <t>12</t>
  </si>
  <si>
    <t>17</t>
  </si>
  <si>
    <t>22</t>
  </si>
  <si>
    <t>（注）昭和25年の人口増加率は、昭和15年をもとにした。</t>
  </si>
  <si>
    <t>（28）年齢（５歳階級）、配偶関係及び男女別15歳以上人口</t>
  </si>
  <si>
    <t>(単位：人）</t>
  </si>
  <si>
    <t>有配偶</t>
  </si>
  <si>
    <t>15～19歳</t>
  </si>
  <si>
    <t>20～24</t>
  </si>
  <si>
    <t>25～29</t>
  </si>
  <si>
    <t>30～34</t>
  </si>
  <si>
    <t>35～44</t>
  </si>
  <si>
    <t>45～54</t>
  </si>
  <si>
    <t>55～64</t>
  </si>
  <si>
    <t>65歳以上</t>
  </si>
  <si>
    <t>（29）夫の年齢（５歳階級）、妻の年齢（５歳階級）別高齢夫婦世帯数</t>
  </si>
  <si>
    <t>（単位：世帯、人）</t>
  </si>
  <si>
    <t>夫の年齢</t>
  </si>
  <si>
    <t>妻が</t>
  </si>
  <si>
    <t>（５歳階級）</t>
  </si>
  <si>
    <t>60歳未満</t>
  </si>
  <si>
    <t>60～64</t>
  </si>
  <si>
    <t>65～69</t>
  </si>
  <si>
    <t>70～74</t>
  </si>
  <si>
    <t>75～79</t>
  </si>
  <si>
    <t>80～84</t>
  </si>
  <si>
    <t>85歳以上</t>
  </si>
  <si>
    <t>夫が60歳未満</t>
  </si>
  <si>
    <t>年 齢 構 造</t>
  </si>
  <si>
    <t>（30）  年齢階層別人口の推移（各年10月１日現在）</t>
  </si>
  <si>
    <t>（32）  年齢構造指数</t>
  </si>
  <si>
    <t>年　　　次</t>
  </si>
  <si>
    <t>年　　　　　次</t>
  </si>
  <si>
    <t>年少人口指数</t>
  </si>
  <si>
    <t>老年人口指数</t>
  </si>
  <si>
    <t>従属人口指数</t>
  </si>
  <si>
    <t>老年化指数</t>
  </si>
  <si>
    <t>（０歳～14歳）</t>
  </si>
  <si>
    <t>（65歳以上）</t>
  </si>
  <si>
    <t>うち男</t>
  </si>
  <si>
    <t>０～14歳人口</t>
  </si>
  <si>
    <t>65歳以上人口</t>
  </si>
  <si>
    <t xml:space="preserve"> ※ 年少人口指数＝</t>
  </si>
  <si>
    <t xml:space="preserve">          </t>
  </si>
  <si>
    <t>× 100</t>
  </si>
  <si>
    <t xml:space="preserve"> 老年人口指数＝</t>
  </si>
  <si>
    <t>　 × 100</t>
  </si>
  <si>
    <t>15～64歳人口</t>
  </si>
  <si>
    <t>（注）総数には「年齢不詳」を含まない。</t>
  </si>
  <si>
    <t xml:space="preserve">                                                         </t>
  </si>
  <si>
    <t xml:space="preserve"> ０～14歳人口＋65歳以上人口</t>
  </si>
  <si>
    <r>
      <t xml:space="preserve"> 　 </t>
    </r>
    <r>
      <rPr>
        <sz val="8"/>
        <rFont val="ＭＳ 明朝"/>
        <family val="1"/>
        <charset val="128"/>
      </rPr>
      <t xml:space="preserve">   </t>
    </r>
    <r>
      <rPr>
        <sz val="10"/>
        <rFont val="ＭＳ 明朝"/>
        <family val="1"/>
        <charset val="128"/>
      </rPr>
      <t>65歳以上人口</t>
    </r>
  </si>
  <si>
    <t xml:space="preserve">    従属人口指数＝</t>
  </si>
  <si>
    <t xml:space="preserve">　× 100  </t>
  </si>
  <si>
    <t xml:space="preserve"> 老年化指数＝</t>
  </si>
  <si>
    <t xml:space="preserve"> 　× 100</t>
  </si>
  <si>
    <t>（31）  年齢５歳階級別、男女別人口（各年10月１日現在）</t>
  </si>
  <si>
    <t xml:space="preserve">     区　  　　分</t>
  </si>
  <si>
    <t>総　  数</t>
  </si>
  <si>
    <t>０～４</t>
  </si>
  <si>
    <t>５～９</t>
  </si>
  <si>
    <t>10～14</t>
  </si>
  <si>
    <t>15～19</t>
  </si>
  <si>
    <t>35～39</t>
  </si>
  <si>
    <t>40～44</t>
  </si>
  <si>
    <t>45～49</t>
  </si>
  <si>
    <t>50～54</t>
  </si>
  <si>
    <t>55～59</t>
  </si>
  <si>
    <t>80歳以上</t>
  </si>
  <si>
    <t>年齢不詳</t>
  </si>
  <si>
    <t>平</t>
  </si>
  <si>
    <t>総人口に対する割合(％)</t>
  </si>
  <si>
    <t>成</t>
  </si>
  <si>
    <t>総　　　　数</t>
  </si>
  <si>
    <t>年</t>
  </si>
  <si>
    <r>
      <t>人口集中地区　</t>
    </r>
    <r>
      <rPr>
        <sz val="10"/>
        <rFont val="ＭＳ 明朝"/>
        <family val="1"/>
        <charset val="128"/>
      </rPr>
      <t xml:space="preserve"> </t>
    </r>
  </si>
  <si>
    <t>（33）  市部別、人口集中地区（Ｄ・Ｉ・Ｄｓ）の人口増減、面積及び人口密度</t>
  </si>
  <si>
    <t>（単位：人、㎢、％）</t>
  </si>
  <si>
    <t>総人口に占める</t>
  </si>
  <si>
    <t xml:space="preserve">総面積に占める </t>
  </si>
  <si>
    <t>率</t>
  </si>
  <si>
    <t>（k㎡）</t>
  </si>
  <si>
    <t>　　　(１k㎡当り人口)</t>
  </si>
  <si>
    <t>人口割合</t>
  </si>
  <si>
    <t>　　面　積　割　合（％）</t>
  </si>
  <si>
    <t>沖　縄　県　　</t>
  </si>
  <si>
    <t>那　覇　市</t>
  </si>
  <si>
    <t>石　垣　市</t>
  </si>
  <si>
    <t>浦　添　市</t>
  </si>
  <si>
    <t>名　護　市</t>
  </si>
  <si>
    <t>糸　満　市</t>
  </si>
  <si>
    <t>沖　縄　市</t>
  </si>
  <si>
    <t xml:space="preserve">  </t>
  </si>
  <si>
    <t>０  ～　14  歳</t>
  </si>
  <si>
    <t>15　～　64　歳　　　</t>
  </si>
  <si>
    <t>総　　　 数</t>
  </si>
  <si>
    <r>
      <t xml:space="preserve"> </t>
    </r>
    <r>
      <rPr>
        <sz val="8"/>
        <rFont val="ＭＳ 明朝"/>
        <family val="1"/>
        <charset val="128"/>
      </rPr>
      <t xml:space="preserve"> </t>
    </r>
    <r>
      <rPr>
        <sz val="10"/>
        <rFont val="ＭＳ 明朝"/>
        <family val="1"/>
        <charset val="128"/>
      </rPr>
      <t>総　  数</t>
    </r>
  </si>
  <si>
    <t>沖　縄　県</t>
  </si>
  <si>
    <t>市　　　　部</t>
  </si>
  <si>
    <t>郡　　　　部</t>
  </si>
  <si>
    <t>（注）65歳以上人口には、年齢不詳を含む。</t>
  </si>
  <si>
    <t>　なお、広大な工場地域・湾港施設・学校・都市公園・官公庁の施設がある地域は、人口密度に関係なく、こ</t>
  </si>
  <si>
    <t>れと隣接する人口密度の高い調査区の地域に含めている。</t>
  </si>
  <si>
    <t>（35）  市別、住宅の所有関係別世帯数</t>
  </si>
  <si>
    <t>住　宅　に　住　む　一　般　世　帯　数</t>
  </si>
  <si>
    <t>住宅以外</t>
  </si>
  <si>
    <t>１世帯</t>
  </si>
  <si>
    <t>１人当り</t>
  </si>
  <si>
    <t>に住む</t>
  </si>
  <si>
    <t>当り</t>
  </si>
  <si>
    <t>持ち家</t>
  </si>
  <si>
    <t>公営借家</t>
  </si>
  <si>
    <t>民営借家</t>
  </si>
  <si>
    <t>給与住宅</t>
  </si>
  <si>
    <t>間 借</t>
  </si>
  <si>
    <t>一般世帯</t>
  </si>
  <si>
    <t>延面積</t>
  </si>
  <si>
    <t xml:space="preserve"> (36)  住宅の人員数、及び面積</t>
  </si>
  <si>
    <t>住 居 の
種 類 別</t>
  </si>
  <si>
    <t>世　　帯　　数</t>
  </si>
  <si>
    <t>世　帯　人　員</t>
  </si>
  <si>
    <t>１  世  帯  当  り</t>
  </si>
  <si>
    <t>人　　員</t>
  </si>
  <si>
    <t>延べ面積</t>
  </si>
  <si>
    <t>　　(持ち家)</t>
  </si>
  <si>
    <t>　　(公営住宅)</t>
  </si>
  <si>
    <t>　　(民営借家)</t>
  </si>
  <si>
    <t>　　(給与住宅)</t>
  </si>
  <si>
    <t>　　(間借り)</t>
  </si>
  <si>
    <t>ネパール</t>
    <phoneticPr fontId="17"/>
  </si>
  <si>
    <t>転 入</t>
    <phoneticPr fontId="17"/>
  </si>
  <si>
    <t xml:space="preserve">（15）  住民登録人口の推移①　（各年共12月末日現在） </t>
    <rPh sb="18" eb="20">
      <t>カクネン</t>
    </rPh>
    <rPh sb="20" eb="21">
      <t>トモ</t>
    </rPh>
    <rPh sb="23" eb="24">
      <t>ガツ</t>
    </rPh>
    <rPh sb="24" eb="25">
      <t>マツ</t>
    </rPh>
    <rPh sb="25" eb="26">
      <t>ヒ</t>
    </rPh>
    <rPh sb="26" eb="28">
      <t>ゲンザイ</t>
    </rPh>
    <phoneticPr fontId="17"/>
  </si>
  <si>
    <t>（単位：世帯、人、％）</t>
    <rPh sb="1" eb="3">
      <t>タンイ</t>
    </rPh>
    <rPh sb="4" eb="6">
      <t>セタイ</t>
    </rPh>
    <rPh sb="7" eb="8">
      <t>ニン</t>
    </rPh>
    <phoneticPr fontId="17"/>
  </si>
  <si>
    <t>年　　次</t>
    <phoneticPr fontId="17"/>
  </si>
  <si>
    <t>世 帯 数</t>
    <rPh sb="0" eb="1">
      <t>ヨ</t>
    </rPh>
    <rPh sb="2" eb="3">
      <t>オビ</t>
    </rPh>
    <rPh sb="4" eb="5">
      <t>カズ</t>
    </rPh>
    <phoneticPr fontId="17"/>
  </si>
  <si>
    <t>人　　　　　　口</t>
    <phoneticPr fontId="17"/>
  </si>
  <si>
    <t>一 世 帯</t>
    <rPh sb="2" eb="3">
      <t>ヨ</t>
    </rPh>
    <rPh sb="4" eb="5">
      <t>オビ</t>
    </rPh>
    <phoneticPr fontId="17"/>
  </si>
  <si>
    <t>総　　数</t>
    <phoneticPr fontId="17"/>
  </si>
  <si>
    <t>男</t>
    <phoneticPr fontId="17"/>
  </si>
  <si>
    <t>女</t>
    <phoneticPr fontId="17"/>
  </si>
  <si>
    <t>当り人口</t>
    <rPh sb="0" eb="1">
      <t>アタ</t>
    </rPh>
    <rPh sb="2" eb="4">
      <t>ジンコウ</t>
    </rPh>
    <phoneticPr fontId="17"/>
  </si>
  <si>
    <t>（16）  住民登録人口の推移② （各年共３月末日現在）</t>
    <rPh sb="18" eb="20">
      <t>カクネン</t>
    </rPh>
    <rPh sb="20" eb="21">
      <t>トモ</t>
    </rPh>
    <rPh sb="22" eb="24">
      <t>ガツマツ</t>
    </rPh>
    <rPh sb="24" eb="25">
      <t>ヒ</t>
    </rPh>
    <rPh sb="25" eb="27">
      <t>ゲンザイ</t>
    </rPh>
    <phoneticPr fontId="17"/>
  </si>
  <si>
    <t>年　　次</t>
    <phoneticPr fontId="17"/>
  </si>
  <si>
    <t>人　　　　　　口</t>
    <phoneticPr fontId="17"/>
  </si>
  <si>
    <t>一 世 帯</t>
    <phoneticPr fontId="17"/>
  </si>
  <si>
    <t>総　　数</t>
    <phoneticPr fontId="17"/>
  </si>
  <si>
    <t>男</t>
    <phoneticPr fontId="17"/>
  </si>
  <si>
    <t>女</t>
    <phoneticPr fontId="17"/>
  </si>
  <si>
    <t xml:space="preserve">（17）  年齢階層別人口の推移（各年共３月末日現在）  </t>
    <rPh sb="17" eb="19">
      <t>カクネン</t>
    </rPh>
    <rPh sb="19" eb="20">
      <t>トモ</t>
    </rPh>
    <rPh sb="21" eb="23">
      <t>ガツマツ</t>
    </rPh>
    <rPh sb="23" eb="24">
      <t>ヒ</t>
    </rPh>
    <rPh sb="24" eb="26">
      <t>ゲンザイ</t>
    </rPh>
    <phoneticPr fontId="17"/>
  </si>
  <si>
    <t>（単位：人）</t>
    <rPh sb="1" eb="3">
      <t>タンイ</t>
    </rPh>
    <rPh sb="4" eb="5">
      <t>ニン</t>
    </rPh>
    <phoneticPr fontId="17"/>
  </si>
  <si>
    <t>年　　次</t>
    <phoneticPr fontId="17"/>
  </si>
  <si>
    <t>年少人口</t>
    <phoneticPr fontId="17"/>
  </si>
  <si>
    <t xml:space="preserve"> 生産年齢人口</t>
    <phoneticPr fontId="17"/>
  </si>
  <si>
    <t>老年人口</t>
    <phoneticPr fontId="17"/>
  </si>
  <si>
    <t xml:space="preserve"> （０歳～14歳）</t>
    <phoneticPr fontId="17"/>
  </si>
  <si>
    <t>（15歳～64歳）</t>
    <phoneticPr fontId="17"/>
  </si>
  <si>
    <t xml:space="preserve"> （65歳以上）</t>
    <phoneticPr fontId="17"/>
  </si>
  <si>
    <t>総　　数</t>
    <phoneticPr fontId="17"/>
  </si>
  <si>
    <t>男</t>
    <phoneticPr fontId="17"/>
  </si>
  <si>
    <t>女</t>
    <phoneticPr fontId="17"/>
  </si>
  <si>
    <t>市  部  別</t>
    <phoneticPr fontId="17"/>
  </si>
  <si>
    <t>人         口</t>
    <phoneticPr fontId="17"/>
  </si>
  <si>
    <t>人 口 密 度</t>
    <phoneticPr fontId="17"/>
  </si>
  <si>
    <t>Ｄ・I・Ｄs</t>
    <phoneticPr fontId="17"/>
  </si>
  <si>
    <t xml:space="preserve">    Ｄ・I・Ｄs　　</t>
    <phoneticPr fontId="17"/>
  </si>
  <si>
    <t>　　 △Ｄ</t>
    <phoneticPr fontId="17"/>
  </si>
  <si>
    <t>総　　　数</t>
    <phoneticPr fontId="17"/>
  </si>
  <si>
    <t>総　数</t>
    <phoneticPr fontId="17"/>
  </si>
  <si>
    <t>未 婚</t>
    <phoneticPr fontId="17"/>
  </si>
  <si>
    <t>死 別</t>
    <phoneticPr fontId="17"/>
  </si>
  <si>
    <t>離 別</t>
    <phoneticPr fontId="17"/>
  </si>
  <si>
    <t>離 別</t>
    <phoneticPr fontId="17"/>
  </si>
  <si>
    <t>-</t>
    <phoneticPr fontId="17"/>
  </si>
  <si>
    <t>-</t>
    <phoneticPr fontId="17"/>
  </si>
  <si>
    <t>年　齢</t>
    <phoneticPr fontId="17"/>
  </si>
  <si>
    <t>15 歳 以 上 人 口</t>
    <phoneticPr fontId="17"/>
  </si>
  <si>
    <t xml:space="preserve"> -　</t>
    <phoneticPr fontId="17"/>
  </si>
  <si>
    <t>中央北地区</t>
    <phoneticPr fontId="17"/>
  </si>
  <si>
    <t xml:space="preserve">中央西地区 </t>
    <phoneticPr fontId="17"/>
  </si>
  <si>
    <t>中央地区</t>
    <phoneticPr fontId="17"/>
  </si>
  <si>
    <t>南地区</t>
    <phoneticPr fontId="17"/>
  </si>
  <si>
    <t>東地区</t>
    <phoneticPr fontId="17"/>
  </si>
  <si>
    <t>妻　　　が　　　60　　　歳　　　以　　　上</t>
    <phoneticPr fontId="17"/>
  </si>
  <si>
    <t>年　少　人　口</t>
    <phoneticPr fontId="17"/>
  </si>
  <si>
    <t>生　産　年　齢　人　口</t>
    <phoneticPr fontId="17"/>
  </si>
  <si>
    <t>老　年　人　口</t>
    <phoneticPr fontId="17"/>
  </si>
  <si>
    <t xml:space="preserve"> 減</t>
    <phoneticPr fontId="17"/>
  </si>
  <si>
    <t>市　　　別</t>
    <phoneticPr fontId="17"/>
  </si>
  <si>
    <t>与那原町</t>
    <rPh sb="0" eb="4">
      <t>ヨナバルチョウ</t>
    </rPh>
    <phoneticPr fontId="17"/>
  </si>
  <si>
    <t>南城市</t>
    <rPh sb="0" eb="1">
      <t>ナン</t>
    </rPh>
    <rPh sb="1" eb="2">
      <t>シロ</t>
    </rPh>
    <rPh sb="2" eb="3">
      <t>シ</t>
    </rPh>
    <phoneticPr fontId="17"/>
  </si>
  <si>
    <t>　住宅以外に住む</t>
    <rPh sb="1" eb="3">
      <t>ジュウタク</t>
    </rPh>
    <rPh sb="3" eb="5">
      <t>イガイ</t>
    </rPh>
    <rPh sb="6" eb="7">
      <t>ス</t>
    </rPh>
    <phoneticPr fontId="17"/>
  </si>
  <si>
    <t>男</t>
    <rPh sb="0" eb="1">
      <t>オトコ</t>
    </rPh>
    <phoneticPr fontId="17"/>
  </si>
  <si>
    <t>女</t>
    <rPh sb="0" eb="1">
      <t>オンナ</t>
    </rPh>
    <phoneticPr fontId="17"/>
  </si>
  <si>
    <t>上昇率</t>
    <rPh sb="0" eb="2">
      <t>ジョウショウ</t>
    </rPh>
    <rPh sb="2" eb="3">
      <t>リツ</t>
    </rPh>
    <phoneticPr fontId="17"/>
  </si>
  <si>
    <t>各年12月末現在</t>
    <rPh sb="0" eb="1">
      <t>カク</t>
    </rPh>
    <rPh sb="1" eb="2">
      <t>ネン</t>
    </rPh>
    <rPh sb="4" eb="5">
      <t>ガツ</t>
    </rPh>
    <rPh sb="5" eb="6">
      <t>スエ</t>
    </rPh>
    <rPh sb="6" eb="8">
      <t>ゲンザイ</t>
    </rPh>
    <phoneticPr fontId="17"/>
  </si>
  <si>
    <t>米　国</t>
    <phoneticPr fontId="17"/>
  </si>
  <si>
    <t>中　国</t>
    <phoneticPr fontId="17"/>
  </si>
  <si>
    <t>フィリピン</t>
    <phoneticPr fontId="17"/>
  </si>
  <si>
    <t>ベトナム</t>
    <phoneticPr fontId="17"/>
  </si>
  <si>
    <t>タイ</t>
    <phoneticPr fontId="17"/>
  </si>
  <si>
    <t>カナダ</t>
    <phoneticPr fontId="17"/>
  </si>
  <si>
    <t>ブラジル</t>
    <phoneticPr fontId="17"/>
  </si>
  <si>
    <t>アルゼンチン</t>
    <phoneticPr fontId="17"/>
  </si>
  <si>
    <t>ペルー</t>
    <phoneticPr fontId="17"/>
  </si>
  <si>
    <t>ボリビア</t>
    <phoneticPr fontId="17"/>
  </si>
  <si>
    <t>英国</t>
    <rPh sb="0" eb="2">
      <t>エイコク</t>
    </rPh>
    <phoneticPr fontId="17"/>
  </si>
  <si>
    <t>その他</t>
    <rPh sb="2" eb="3">
      <t>タ</t>
    </rPh>
    <phoneticPr fontId="17"/>
  </si>
  <si>
    <t>（8）  年齢階層別人口構成　（P40参照）</t>
    <rPh sb="5" eb="7">
      <t>ネンレイ</t>
    </rPh>
    <rPh sb="7" eb="10">
      <t>カイソウベツ</t>
    </rPh>
    <rPh sb="10" eb="12">
      <t>ジンコウ</t>
    </rPh>
    <rPh sb="12" eb="14">
      <t>コウセイ</t>
    </rPh>
    <rPh sb="19" eb="21">
      <t>サンショウ</t>
    </rPh>
    <phoneticPr fontId="17"/>
  </si>
  <si>
    <t>年齢階層別人口構成</t>
    <rPh sb="0" eb="2">
      <t>ネンレイ</t>
    </rPh>
    <rPh sb="2" eb="4">
      <t>カイソウ</t>
    </rPh>
    <rPh sb="4" eb="5">
      <t>ベツ</t>
    </rPh>
    <rPh sb="5" eb="7">
      <t>ジンコウ</t>
    </rPh>
    <rPh sb="7" eb="9">
      <t>コウセイ</t>
    </rPh>
    <phoneticPr fontId="17"/>
  </si>
  <si>
    <t>15歳未満</t>
    <rPh sb="2" eb="3">
      <t>サイ</t>
    </rPh>
    <rPh sb="3" eb="5">
      <t>ミマン</t>
    </rPh>
    <phoneticPr fontId="17"/>
  </si>
  <si>
    <t>15～64歳</t>
    <rPh sb="5" eb="6">
      <t>サイ</t>
    </rPh>
    <phoneticPr fontId="17"/>
  </si>
  <si>
    <t>65歳以上</t>
    <rPh sb="2" eb="3">
      <t>サイ</t>
    </rPh>
    <rPh sb="3" eb="5">
      <t>イジョウ</t>
    </rPh>
    <phoneticPr fontId="17"/>
  </si>
  <si>
    <t>（9）  人口動態の推移①　（P44参照）</t>
    <rPh sb="5" eb="7">
      <t>ジンコウ</t>
    </rPh>
    <rPh sb="7" eb="9">
      <t>ドウタイ</t>
    </rPh>
    <rPh sb="10" eb="12">
      <t>スイイ</t>
    </rPh>
    <rPh sb="18" eb="20">
      <t>サンショウ</t>
    </rPh>
    <phoneticPr fontId="17"/>
  </si>
  <si>
    <t>人口増加</t>
    <rPh sb="0" eb="2">
      <t>ジンコウ</t>
    </rPh>
    <rPh sb="2" eb="4">
      <t>ゾウカ</t>
    </rPh>
    <phoneticPr fontId="17"/>
  </si>
  <si>
    <t>自然増加</t>
    <rPh sb="0" eb="2">
      <t>シゼン</t>
    </rPh>
    <rPh sb="2" eb="4">
      <t>ゾウカ</t>
    </rPh>
    <phoneticPr fontId="17"/>
  </si>
  <si>
    <t>社会増加</t>
    <rPh sb="0" eb="2">
      <t>シャカイ</t>
    </rPh>
    <rPh sb="2" eb="4">
      <t>ゾウカ</t>
    </rPh>
    <phoneticPr fontId="17"/>
  </si>
  <si>
    <t>（10）  人口動態の推移②　（P44参照）</t>
    <rPh sb="6" eb="8">
      <t>ジンコウ</t>
    </rPh>
    <rPh sb="8" eb="10">
      <t>ドウタイ</t>
    </rPh>
    <rPh sb="11" eb="13">
      <t>スイイ</t>
    </rPh>
    <rPh sb="19" eb="21">
      <t>サンショウ</t>
    </rPh>
    <phoneticPr fontId="17"/>
  </si>
  <si>
    <t>出生</t>
    <rPh sb="0" eb="2">
      <t>シュッセイ</t>
    </rPh>
    <phoneticPr fontId="17"/>
  </si>
  <si>
    <t>死亡</t>
    <rPh sb="0" eb="2">
      <t>シボウ</t>
    </rPh>
    <phoneticPr fontId="17"/>
  </si>
  <si>
    <t>転入</t>
    <rPh sb="0" eb="2">
      <t>テンニュウ</t>
    </rPh>
    <phoneticPr fontId="17"/>
  </si>
  <si>
    <t>転出</t>
    <rPh sb="0" eb="2">
      <t>テンシュツ</t>
    </rPh>
    <phoneticPr fontId="17"/>
  </si>
  <si>
    <t>（11）  国勢調査の人口の推移　（P48参照）</t>
    <rPh sb="6" eb="8">
      <t>コクセイ</t>
    </rPh>
    <rPh sb="8" eb="10">
      <t>チョウサ</t>
    </rPh>
    <rPh sb="11" eb="13">
      <t>ジンコウ</t>
    </rPh>
    <rPh sb="14" eb="16">
      <t>スイイ</t>
    </rPh>
    <rPh sb="21" eb="23">
      <t>サンショウ</t>
    </rPh>
    <phoneticPr fontId="17"/>
  </si>
  <si>
    <t>50年</t>
    <rPh sb="2" eb="3">
      <t>ネン</t>
    </rPh>
    <phoneticPr fontId="17"/>
  </si>
  <si>
    <t>55年</t>
    <rPh sb="2" eb="3">
      <t>ネン</t>
    </rPh>
    <phoneticPr fontId="17"/>
  </si>
  <si>
    <t>60年</t>
    <rPh sb="2" eb="3">
      <t>ネン</t>
    </rPh>
    <phoneticPr fontId="17"/>
  </si>
  <si>
    <t>12年</t>
    <rPh sb="2" eb="3">
      <t>ネン</t>
    </rPh>
    <phoneticPr fontId="17"/>
  </si>
  <si>
    <t>17年</t>
    <rPh sb="2" eb="3">
      <t>ネン</t>
    </rPh>
    <phoneticPr fontId="17"/>
  </si>
  <si>
    <t>（12）  人口集中地区の面積と人口　（P52・53参照）</t>
    <rPh sb="6" eb="8">
      <t>ジンコウ</t>
    </rPh>
    <rPh sb="8" eb="10">
      <t>シュウチュウ</t>
    </rPh>
    <rPh sb="10" eb="12">
      <t>チク</t>
    </rPh>
    <rPh sb="13" eb="15">
      <t>メンセキ</t>
    </rPh>
    <rPh sb="16" eb="18">
      <t>ジンコウ</t>
    </rPh>
    <rPh sb="26" eb="28">
      <t>サンショウ</t>
    </rPh>
    <phoneticPr fontId="17"/>
  </si>
  <si>
    <t>人口集中地区</t>
    <rPh sb="0" eb="2">
      <t>ジンコウ</t>
    </rPh>
    <rPh sb="2" eb="4">
      <t>シュウチュウ</t>
    </rPh>
    <rPh sb="4" eb="6">
      <t>チク</t>
    </rPh>
    <phoneticPr fontId="17"/>
  </si>
  <si>
    <t>人口集中地区外</t>
    <rPh sb="0" eb="2">
      <t>ジンコウ</t>
    </rPh>
    <rPh sb="2" eb="4">
      <t>シュウチュウ</t>
    </rPh>
    <rPh sb="4" eb="6">
      <t>チク</t>
    </rPh>
    <rPh sb="6" eb="7">
      <t>ガイ</t>
    </rPh>
    <phoneticPr fontId="17"/>
  </si>
  <si>
    <t>面積</t>
    <rPh sb="0" eb="2">
      <t>メンセキ</t>
    </rPh>
    <phoneticPr fontId="17"/>
  </si>
  <si>
    <t>人口</t>
    <rPh sb="0" eb="2">
      <t>ジンコウ</t>
    </rPh>
    <phoneticPr fontId="17"/>
  </si>
  <si>
    <t>※太線内の部分は、人口集中地区。</t>
    <rPh sb="1" eb="3">
      <t>フトセン</t>
    </rPh>
    <rPh sb="3" eb="4">
      <t>ナイ</t>
    </rPh>
    <rPh sb="5" eb="7">
      <t>ブブン</t>
    </rPh>
    <rPh sb="9" eb="11">
      <t>ジンコウ</t>
    </rPh>
    <rPh sb="11" eb="13">
      <t>シュウチュウ</t>
    </rPh>
    <rPh sb="13" eb="15">
      <t>チク</t>
    </rPh>
    <phoneticPr fontId="17"/>
  </si>
  <si>
    <t>年少人口</t>
    <rPh sb="0" eb="1">
      <t>トシ</t>
    </rPh>
    <rPh sb="1" eb="2">
      <t>ショウ</t>
    </rPh>
    <rPh sb="2" eb="3">
      <t>ヒト</t>
    </rPh>
    <rPh sb="3" eb="4">
      <t>クチ</t>
    </rPh>
    <phoneticPr fontId="17"/>
  </si>
  <si>
    <t>生産年齢人口</t>
    <rPh sb="0" eb="2">
      <t>セイサン</t>
    </rPh>
    <rPh sb="2" eb="4">
      <t>ネンレイ</t>
    </rPh>
    <rPh sb="4" eb="6">
      <t>ジンコウ</t>
    </rPh>
    <phoneticPr fontId="17"/>
  </si>
  <si>
    <t>老年人口</t>
    <rPh sb="0" eb="1">
      <t>ロウ</t>
    </rPh>
    <rPh sb="1" eb="2">
      <t>トシ</t>
    </rPh>
    <rPh sb="2" eb="3">
      <t>ヒト</t>
    </rPh>
    <rPh sb="3" eb="4">
      <t>クチ</t>
    </rPh>
    <phoneticPr fontId="17"/>
  </si>
  <si>
    <t>持ち家</t>
    <rPh sb="0" eb="1">
      <t>モ</t>
    </rPh>
    <rPh sb="2" eb="3">
      <t>イエ</t>
    </rPh>
    <phoneticPr fontId="17"/>
  </si>
  <si>
    <t>借家</t>
    <rPh sb="0" eb="2">
      <t>シャクヤ</t>
    </rPh>
    <phoneticPr fontId="17"/>
  </si>
  <si>
    <t>（単位：人、㎡）</t>
    <rPh sb="4" eb="5">
      <t>ヒト</t>
    </rPh>
    <phoneticPr fontId="17"/>
  </si>
  <si>
    <t xml:space="preserve">      住宅以外に住む一般世帯とは寄宿舎、老健施設等をいう。</t>
    <rPh sb="6" eb="8">
      <t>ジュウタク</t>
    </rPh>
    <rPh sb="8" eb="10">
      <t>イガイ</t>
    </rPh>
    <rPh sb="11" eb="12">
      <t>ス</t>
    </rPh>
    <rPh sb="13" eb="15">
      <t>イッパン</t>
    </rPh>
    <rPh sb="15" eb="17">
      <t>セタイ</t>
    </rPh>
    <rPh sb="19" eb="22">
      <t>キシュクシャ</t>
    </rPh>
    <rPh sb="23" eb="24">
      <t>ロウ</t>
    </rPh>
    <rPh sb="24" eb="25">
      <t>ケン</t>
    </rPh>
    <rPh sb="25" eb="28">
      <t>シセツトウ</t>
    </rPh>
    <phoneticPr fontId="17"/>
  </si>
  <si>
    <t>する人口</t>
    <phoneticPr fontId="17"/>
  </si>
  <si>
    <t>安川</t>
    <phoneticPr fontId="17"/>
  </si>
  <si>
    <t>（注）平成24年7月の「転入｣には、住基法改正により現住の外国人登録者の数を含む。</t>
    <rPh sb="1" eb="2">
      <t>チュウ</t>
    </rPh>
    <rPh sb="3" eb="5">
      <t>ヘイセイ</t>
    </rPh>
    <rPh sb="7" eb="8">
      <t>ネン</t>
    </rPh>
    <rPh sb="9" eb="10">
      <t>ガツ</t>
    </rPh>
    <rPh sb="12" eb="14">
      <t>テンニュウ</t>
    </rPh>
    <rPh sb="18" eb="19">
      <t>ジュウ</t>
    </rPh>
    <rPh sb="19" eb="20">
      <t>モト</t>
    </rPh>
    <rPh sb="20" eb="23">
      <t>ホウカイセイ</t>
    </rPh>
    <rPh sb="26" eb="28">
      <t>ゲンジュウ</t>
    </rPh>
    <rPh sb="29" eb="31">
      <t>ガイコク</t>
    </rPh>
    <rPh sb="31" eb="32">
      <t>ジン</t>
    </rPh>
    <rPh sb="32" eb="35">
      <t>トウロクシャ</t>
    </rPh>
    <rPh sb="36" eb="37">
      <t>カズ</t>
    </rPh>
    <rPh sb="38" eb="39">
      <t>フク</t>
    </rPh>
    <phoneticPr fontId="17"/>
  </si>
  <si>
    <t>世帯数</t>
    <rPh sb="0" eb="3">
      <t>セタイスウ</t>
    </rPh>
    <phoneticPr fontId="17"/>
  </si>
  <si>
    <t>総数</t>
    <rPh sb="0" eb="2">
      <t>ソウスウ</t>
    </rPh>
    <phoneticPr fontId="17"/>
  </si>
  <si>
    <t>増減数</t>
    <rPh sb="0" eb="2">
      <t>ゾウゲン</t>
    </rPh>
    <rPh sb="2" eb="3">
      <t>スウ</t>
    </rPh>
    <phoneticPr fontId="17"/>
  </si>
  <si>
    <t>韓国・朝鮮</t>
    <phoneticPr fontId="17"/>
  </si>
  <si>
    <t>減</t>
  </si>
  <si>
    <t>（注）平成24年7月以降、「人口」には住基法改正による外国人登録者を含む。</t>
    <rPh sb="1" eb="2">
      <t>チュウ</t>
    </rPh>
    <rPh sb="3" eb="5">
      <t>ヘイセイ</t>
    </rPh>
    <rPh sb="7" eb="8">
      <t>ネン</t>
    </rPh>
    <rPh sb="9" eb="10">
      <t>ガツ</t>
    </rPh>
    <rPh sb="10" eb="12">
      <t>イコウ</t>
    </rPh>
    <rPh sb="14" eb="16">
      <t>ジンコウ</t>
    </rPh>
    <rPh sb="19" eb="20">
      <t>ジュウ</t>
    </rPh>
    <rPh sb="20" eb="22">
      <t>モトノリ</t>
    </rPh>
    <rPh sb="22" eb="24">
      <t>カイセイ</t>
    </rPh>
    <rPh sb="27" eb="29">
      <t>ガイコク</t>
    </rPh>
    <rPh sb="29" eb="30">
      <t>ジン</t>
    </rPh>
    <rPh sb="30" eb="33">
      <t>トウロクシャ</t>
    </rPh>
    <rPh sb="34" eb="35">
      <t>フク</t>
    </rPh>
    <phoneticPr fontId="17"/>
  </si>
  <si>
    <t>（14）住宅の所有関係別一般世帯（国勢調査）</t>
  </si>
  <si>
    <t>（13）年齢階層別人口の構成（国勢調査）</t>
  </si>
  <si>
    <t xml:space="preserve">  ※  人口集中地区（Ｄ・Ｉ・Ｄｓ）とは、各市町村の境域内で人口密度の高い基本単位区（人口密度１平方</t>
    <rPh sb="38" eb="40">
      <t>キホン</t>
    </rPh>
    <rPh sb="40" eb="42">
      <t>タンイ</t>
    </rPh>
    <rPh sb="42" eb="43">
      <t>ク</t>
    </rPh>
    <phoneticPr fontId="17"/>
  </si>
  <si>
    <t>　　キロメートル当り 4,000人以上）が隣接して、それが人口 5,000人以上の地域を構成する地区のことであ</t>
    <phoneticPr fontId="17"/>
  </si>
  <si>
    <t>　　る。</t>
    <phoneticPr fontId="17"/>
  </si>
  <si>
    <t>　一般世帯</t>
    <phoneticPr fontId="17"/>
  </si>
  <si>
    <t>転 出</t>
    <phoneticPr fontId="17"/>
  </si>
  <si>
    <t>転 入</t>
    <phoneticPr fontId="17"/>
  </si>
  <si>
    <t>本　　市　　へ　　の　　転　　入</t>
    <phoneticPr fontId="17"/>
  </si>
  <si>
    <t>本　　市　　か　　ら　　の　　転　　出</t>
    <phoneticPr fontId="17"/>
  </si>
  <si>
    <t>順　位</t>
    <phoneticPr fontId="17"/>
  </si>
  <si>
    <t>都 道 府 県</t>
    <phoneticPr fontId="17"/>
  </si>
  <si>
    <t>移 動 数</t>
    <phoneticPr fontId="17"/>
  </si>
  <si>
    <t>順　位</t>
    <phoneticPr fontId="17"/>
  </si>
  <si>
    <t>都 道 府 県</t>
    <phoneticPr fontId="17"/>
  </si>
  <si>
    <t>移 動 数</t>
    <phoneticPr fontId="17"/>
  </si>
  <si>
    <t>６</t>
    <phoneticPr fontId="17"/>
  </si>
  <si>
    <t>総          数</t>
    <phoneticPr fontId="17"/>
  </si>
  <si>
    <t>総          数</t>
    <phoneticPr fontId="17"/>
  </si>
  <si>
    <t>ネパール</t>
    <phoneticPr fontId="17"/>
  </si>
  <si>
    <t>実　　　　　数</t>
    <phoneticPr fontId="17"/>
  </si>
  <si>
    <t>実　　　　　数</t>
    <phoneticPr fontId="17"/>
  </si>
  <si>
    <t>　　人　　　　口　　　増</t>
    <rPh sb="11" eb="12">
      <t>ゾウ</t>
    </rPh>
    <phoneticPr fontId="17"/>
  </si>
  <si>
    <t>沖　縄　県　</t>
    <phoneticPr fontId="17"/>
  </si>
  <si>
    <t>住　　　宅</t>
    <phoneticPr fontId="17"/>
  </si>
  <si>
    <t xml:space="preserve">      玄関、台所、廊下、便所、浴室、押し入れなども含めた床面積の合計をいう。</t>
    <rPh sb="6" eb="8">
      <t>ゲンカン</t>
    </rPh>
    <rPh sb="9" eb="11">
      <t>ダイドコロ</t>
    </rPh>
    <phoneticPr fontId="17"/>
  </si>
  <si>
    <t>（注）延べ面積とは、各居住室の床面積のほか、その住宅に含まれる</t>
    <phoneticPr fontId="17"/>
  </si>
  <si>
    <t>平成2年</t>
    <rPh sb="0" eb="2">
      <t>ヘイセイ</t>
    </rPh>
    <rPh sb="3" eb="4">
      <t>ネン</t>
    </rPh>
    <phoneticPr fontId="17"/>
  </si>
  <si>
    <t>7年</t>
    <rPh sb="1" eb="2">
      <t>ネン</t>
    </rPh>
    <phoneticPr fontId="17"/>
  </si>
  <si>
    <t>平成26年</t>
    <phoneticPr fontId="17"/>
  </si>
  <si>
    <t>平成27年</t>
    <phoneticPr fontId="17"/>
  </si>
  <si>
    <t>平成22年</t>
    <phoneticPr fontId="17"/>
  </si>
  <si>
    <t>平成23年</t>
    <phoneticPr fontId="17"/>
  </si>
  <si>
    <t>平成24年</t>
    <phoneticPr fontId="17"/>
  </si>
  <si>
    <t>平成25年</t>
    <phoneticPr fontId="17"/>
  </si>
  <si>
    <t>（注）県営経塚団地、浦添市街地住宅は、平成19年4月1日認可。</t>
    <phoneticPr fontId="17"/>
  </si>
  <si>
    <t xml:space="preserve">      県営沢岻高層住宅は、平成20年4月1日認可。陽迎橋は、平成21年4月1日認可。     </t>
    <phoneticPr fontId="17"/>
  </si>
  <si>
    <t>平成17年</t>
    <rPh sb="0" eb="2">
      <t>ヘイセイ</t>
    </rPh>
    <rPh sb="4" eb="5">
      <t>ネン</t>
    </rPh>
    <phoneticPr fontId="17"/>
  </si>
  <si>
    <t>　　  平成26年に国土地理院による面積調べの測定方法に変更があり総面積が増えたが、実質的な面積の増減は</t>
    <rPh sb="33" eb="36">
      <t>ソウメンセキ</t>
    </rPh>
    <rPh sb="37" eb="38">
      <t>フ</t>
    </rPh>
    <phoneticPr fontId="17"/>
  </si>
  <si>
    <t>　　　ないため、字別面積は構成比に応じて算出している。</t>
    <rPh sb="8" eb="9">
      <t>アザ</t>
    </rPh>
    <rPh sb="9" eb="10">
      <t>ベツ</t>
    </rPh>
    <rPh sb="10" eb="12">
      <t>メンセキ</t>
    </rPh>
    <phoneticPr fontId="17"/>
  </si>
  <si>
    <t>　　　（小数点第2位で四捨五入しているため総数とは一致しない。）</t>
    <phoneticPr fontId="17"/>
  </si>
  <si>
    <t>平成28年</t>
    <phoneticPr fontId="17"/>
  </si>
  <si>
    <t>Ａ</t>
    <phoneticPr fontId="17"/>
  </si>
  <si>
    <t>Ｃ</t>
    <phoneticPr fontId="17"/>
  </si>
  <si>
    <t>Ａ</t>
    <phoneticPr fontId="17"/>
  </si>
  <si>
    <t>△Ｄ</t>
    <phoneticPr fontId="17"/>
  </si>
  <si>
    <t>Ｂ</t>
    <phoneticPr fontId="17"/>
  </si>
  <si>
    <t>Ｂ</t>
    <phoneticPr fontId="17"/>
  </si>
  <si>
    <t>平　成　２２　年　～　平　成　２７　年</t>
    <phoneticPr fontId="17"/>
  </si>
  <si>
    <t>平成22年</t>
    <phoneticPr fontId="17"/>
  </si>
  <si>
    <t>（注） 面積は国土交通省国土地理院「平成27年全国都道府県市区町村別面積調」による。</t>
    <rPh sb="7" eb="9">
      <t>コクド</t>
    </rPh>
    <rPh sb="9" eb="11">
      <t>コウツウ</t>
    </rPh>
    <phoneticPr fontId="17"/>
  </si>
  <si>
    <t>うるま市</t>
    <rPh sb="3" eb="4">
      <t>シ</t>
    </rPh>
    <phoneticPr fontId="17"/>
  </si>
  <si>
    <t>宮古島市</t>
    <rPh sb="0" eb="4">
      <t>ミヤコジマシ</t>
    </rPh>
    <phoneticPr fontId="17"/>
  </si>
  <si>
    <t>②自然増加・・・沖縄県企画開発部「人口移動報告年報」より、各年10月～９月までの数値を合計し、</t>
    <phoneticPr fontId="17"/>
  </si>
  <si>
    <t xml:space="preserve">                ５年分を算出した。</t>
    <phoneticPr fontId="17"/>
  </si>
  <si>
    <t>①人口増加・・・国勢調査人口によって、各調査年の10月1日現在の人口から５年間の動きを算出した。</t>
    <phoneticPr fontId="17"/>
  </si>
  <si>
    <t>③出生死亡数法・ある期間内の人口増加と自然増加（出生数と死亡数）から、同期間内の社会増加を</t>
    <phoneticPr fontId="17"/>
  </si>
  <si>
    <t xml:space="preserve">                求める。 人口増加－自然増加＝社会増加</t>
    <phoneticPr fontId="17"/>
  </si>
  <si>
    <t>※算出方法</t>
    <rPh sb="1" eb="3">
      <t>サンシュツ</t>
    </rPh>
    <rPh sb="3" eb="5">
      <t>ホウホウ</t>
    </rPh>
    <phoneticPr fontId="17"/>
  </si>
  <si>
    <t>南城市</t>
    <rPh sb="0" eb="3">
      <t>ナンジョウシ</t>
    </rPh>
    <phoneticPr fontId="17"/>
  </si>
  <si>
    <t>（旧石川市）</t>
    <rPh sb="1" eb="2">
      <t>キュウ</t>
    </rPh>
    <phoneticPr fontId="17"/>
  </si>
  <si>
    <t>（旧具志川市）</t>
    <rPh sb="1" eb="2">
      <t>キュウ</t>
    </rPh>
    <phoneticPr fontId="17"/>
  </si>
  <si>
    <t>（旧平良市）</t>
    <rPh sb="1" eb="2">
      <t>キュウ</t>
    </rPh>
    <phoneticPr fontId="17"/>
  </si>
  <si>
    <t>Ａ</t>
    <phoneticPr fontId="17"/>
  </si>
  <si>
    <t>Ｂ</t>
    <phoneticPr fontId="17"/>
  </si>
  <si>
    <t>△Ｃ</t>
    <phoneticPr fontId="17"/>
  </si>
  <si>
    <t>Ｄ</t>
    <phoneticPr fontId="17"/>
  </si>
  <si>
    <t>△Ｄ</t>
    <phoneticPr fontId="17"/>
  </si>
  <si>
    <t>資料：平成27年国勢調査</t>
    <phoneticPr fontId="17"/>
  </si>
  <si>
    <t>（25)   平成27年国勢調査による市町村別人口</t>
    <phoneticPr fontId="17"/>
  </si>
  <si>
    <t>（25)   平成27年国勢調査による市町村別人口（続き）</t>
    <phoneticPr fontId="17"/>
  </si>
  <si>
    <t>平成22年</t>
    <phoneticPr fontId="17"/>
  </si>
  <si>
    <t>平成27年</t>
    <phoneticPr fontId="17"/>
  </si>
  <si>
    <t>平成27年</t>
    <phoneticPr fontId="17"/>
  </si>
  <si>
    <t xml:space="preserve"> 平成22年との人口比較</t>
    <phoneticPr fontId="17"/>
  </si>
  <si>
    <t>平成27年国調人口</t>
    <phoneticPr fontId="17"/>
  </si>
  <si>
    <t xml:space="preserve">　平成27年10月１日現在の沖縄県の総人口は、 1,433,566人で前回調査の平成22年と比べ 40,748人増加している。人口を市町村別にみると市部では、①那覇市が319,435人（県人口の22.3％）で最も多く、次いで②沖縄市が139,279人（同 9.7％）、③うるま市 118,898人（同 8.3％）、④本市 114,232人(同8.0％）、⑤宜野湾市96,243人（同6.7％）の順となっている。地域別の人口構成では、那覇市を中心とする中南部に人口が集中している。
　沖縄県の対前回増加率は 2.9％で、平成22年の 2.3％と比べ0.6ポイントの増加となった。本市における対前回増加率は3.5％で、前回の4.1％に比べ0.6ポイント減少している。 </t>
    <rPh sb="281" eb="283">
      <t>ゾウカ</t>
    </rPh>
    <rPh sb="315" eb="316">
      <t>クラ</t>
    </rPh>
    <rPh sb="324" eb="326">
      <t>ゲンショウ</t>
    </rPh>
    <phoneticPr fontId="17"/>
  </si>
  <si>
    <t>昭和10年</t>
    <rPh sb="0" eb="2">
      <t>ショウワ</t>
    </rPh>
    <rPh sb="4" eb="5">
      <t>ネン</t>
    </rPh>
    <phoneticPr fontId="17"/>
  </si>
  <si>
    <t>27</t>
    <phoneticPr fontId="17"/>
  </si>
  <si>
    <t>資料：平成27年国勢調査</t>
    <phoneticPr fontId="17"/>
  </si>
  <si>
    <t>平成27年</t>
    <phoneticPr fontId="17"/>
  </si>
  <si>
    <t>資料：平成27年国勢調査</t>
    <phoneticPr fontId="17"/>
  </si>
  <si>
    <t>（注）平成１７年のみ配偶関係「不詳」を含む。</t>
    <rPh sb="3" eb="5">
      <t>ヘイセイ</t>
    </rPh>
    <rPh sb="7" eb="8">
      <t>ネン</t>
    </rPh>
    <phoneticPr fontId="17"/>
  </si>
  <si>
    <t>資料：平成27年国勢調査</t>
    <phoneticPr fontId="17"/>
  </si>
  <si>
    <t>資料：平成27年国勢調査</t>
    <phoneticPr fontId="17"/>
  </si>
  <si>
    <t>平 成 12 年</t>
    <phoneticPr fontId="17"/>
  </si>
  <si>
    <r>
      <rPr>
        <sz val="10"/>
        <color indexed="9"/>
        <rFont val="ＭＳ 明朝"/>
        <family val="1"/>
        <charset val="128"/>
      </rPr>
      <t xml:space="preserve">平 成 </t>
    </r>
    <r>
      <rPr>
        <sz val="10"/>
        <rFont val="ＭＳ 明朝"/>
        <family val="1"/>
        <charset val="128"/>
      </rPr>
      <t xml:space="preserve">17 </t>
    </r>
    <r>
      <rPr>
        <sz val="10"/>
        <color indexed="9"/>
        <rFont val="ＭＳ 明朝"/>
        <family val="1"/>
        <charset val="128"/>
      </rPr>
      <t>年</t>
    </r>
    <phoneticPr fontId="17"/>
  </si>
  <si>
    <r>
      <rPr>
        <sz val="10"/>
        <color theme="0"/>
        <rFont val="ＭＳ 明朝"/>
        <family val="1"/>
        <charset val="128"/>
      </rPr>
      <t>平 成</t>
    </r>
    <r>
      <rPr>
        <sz val="10"/>
        <rFont val="ＭＳ 明朝"/>
        <family val="1"/>
        <charset val="128"/>
      </rPr>
      <t xml:space="preserve"> 22 </t>
    </r>
    <r>
      <rPr>
        <sz val="10"/>
        <color theme="0"/>
        <rFont val="ＭＳ 明朝"/>
        <family val="1"/>
        <charset val="128"/>
      </rPr>
      <t>年</t>
    </r>
    <phoneticPr fontId="17"/>
  </si>
  <si>
    <r>
      <rPr>
        <b/>
        <sz val="10"/>
        <color indexed="9"/>
        <rFont val="ＭＳ 明朝"/>
        <family val="1"/>
        <charset val="128"/>
      </rPr>
      <t>平 成</t>
    </r>
    <r>
      <rPr>
        <b/>
        <sz val="10"/>
        <rFont val="ＭＳ 明朝"/>
        <family val="1"/>
        <charset val="128"/>
      </rPr>
      <t xml:space="preserve"> 27 </t>
    </r>
    <r>
      <rPr>
        <b/>
        <sz val="10"/>
        <color indexed="9"/>
        <rFont val="ＭＳ 明朝"/>
        <family val="1"/>
        <charset val="128"/>
      </rPr>
      <t>年</t>
    </r>
    <phoneticPr fontId="17"/>
  </si>
  <si>
    <t>12</t>
    <phoneticPr fontId="17"/>
  </si>
  <si>
    <t>27</t>
    <phoneticPr fontId="17"/>
  </si>
  <si>
    <r>
      <rPr>
        <sz val="10"/>
        <color indexed="9"/>
        <rFont val="ＭＳ 明朝"/>
        <family val="1"/>
        <charset val="128"/>
      </rPr>
      <t>平　成　</t>
    </r>
    <r>
      <rPr>
        <sz val="10"/>
        <rFont val="ＭＳ 明朝"/>
        <family val="1"/>
        <charset val="128"/>
      </rPr>
      <t>1 2　</t>
    </r>
    <r>
      <rPr>
        <sz val="10"/>
        <color indexed="9"/>
        <rFont val="ＭＳ 明朝"/>
        <family val="1"/>
        <charset val="128"/>
      </rPr>
      <t>年</t>
    </r>
    <rPh sb="0" eb="1">
      <t>ヒラ</t>
    </rPh>
    <rPh sb="2" eb="3">
      <t>シゲル</t>
    </rPh>
    <rPh sb="8" eb="9">
      <t>ネン</t>
    </rPh>
    <phoneticPr fontId="17"/>
  </si>
  <si>
    <r>
      <rPr>
        <sz val="10"/>
        <color indexed="9"/>
        <rFont val="ＭＳ 明朝"/>
        <family val="1"/>
        <charset val="128"/>
      </rPr>
      <t>平　成　</t>
    </r>
    <r>
      <rPr>
        <sz val="10"/>
        <rFont val="ＭＳ 明朝"/>
        <family val="1"/>
        <charset val="128"/>
      </rPr>
      <t>1 7　</t>
    </r>
    <r>
      <rPr>
        <sz val="10"/>
        <color indexed="9"/>
        <rFont val="ＭＳ 明朝"/>
        <family val="1"/>
        <charset val="128"/>
      </rPr>
      <t>年</t>
    </r>
    <r>
      <rPr>
        <sz val="10"/>
        <rFont val="ＭＳ 明朝"/>
        <family val="1"/>
        <charset val="128"/>
      </rPr>
      <t>　</t>
    </r>
    <rPh sb="0" eb="1">
      <t>ヒラ</t>
    </rPh>
    <rPh sb="2" eb="3">
      <t>シゲル</t>
    </rPh>
    <phoneticPr fontId="17"/>
  </si>
  <si>
    <r>
      <rPr>
        <b/>
        <sz val="10"/>
        <color indexed="9"/>
        <rFont val="ＭＳ 明朝"/>
        <family val="1"/>
        <charset val="128"/>
      </rPr>
      <t xml:space="preserve">平　成  </t>
    </r>
    <r>
      <rPr>
        <b/>
        <sz val="10"/>
        <rFont val="ＭＳ 明朝"/>
        <family val="1"/>
        <charset val="128"/>
      </rPr>
      <t xml:space="preserve">2 7 </t>
    </r>
    <r>
      <rPr>
        <b/>
        <sz val="10"/>
        <color indexed="9"/>
        <rFont val="ＭＳ 明朝"/>
        <family val="1"/>
        <charset val="128"/>
      </rPr>
      <t>年　</t>
    </r>
    <rPh sb="0" eb="1">
      <t>ヒラ</t>
    </rPh>
    <rPh sb="2" eb="3">
      <t>シゲル</t>
    </rPh>
    <phoneticPr fontId="17"/>
  </si>
  <si>
    <r>
      <rPr>
        <sz val="10"/>
        <color indexed="9"/>
        <rFont val="ＭＳ 明朝"/>
        <family val="1"/>
        <charset val="128"/>
      </rPr>
      <t>平　成　</t>
    </r>
    <r>
      <rPr>
        <sz val="10"/>
        <rFont val="ＭＳ 明朝"/>
        <family val="1"/>
        <charset val="128"/>
      </rPr>
      <t xml:space="preserve">2 2  </t>
    </r>
    <r>
      <rPr>
        <sz val="10"/>
        <color indexed="9"/>
        <rFont val="ＭＳ 明朝"/>
        <family val="1"/>
        <charset val="128"/>
      </rPr>
      <t>年　</t>
    </r>
    <rPh sb="0" eb="1">
      <t>ヒラ</t>
    </rPh>
    <rPh sb="2" eb="3">
      <t>シゲル</t>
    </rPh>
    <phoneticPr fontId="17"/>
  </si>
  <si>
    <t>　また、生産年齢人口は前回より61人（0.1%）減少し、従属人口指数（子供や老人を養う負担の度合）は
4.5ポイント増加、平成27年では55.6％となっている。老年化指数においては、93.1%で前回より18.6ポイント増加している。
　</t>
    <rPh sb="24" eb="26">
      <t>ゲンショウ</t>
    </rPh>
    <phoneticPr fontId="17"/>
  </si>
  <si>
    <t>平　成　1 2　年</t>
    <rPh sb="0" eb="1">
      <t>ヒラ</t>
    </rPh>
    <rPh sb="2" eb="3">
      <t>シゲル</t>
    </rPh>
    <rPh sb="8" eb="9">
      <t>ネン</t>
    </rPh>
    <phoneticPr fontId="17"/>
  </si>
  <si>
    <r>
      <rPr>
        <b/>
        <sz val="10"/>
        <color indexed="9"/>
        <rFont val="ＭＳ 明朝"/>
        <family val="1"/>
        <charset val="128"/>
      </rPr>
      <t xml:space="preserve">平　成 </t>
    </r>
    <r>
      <rPr>
        <b/>
        <sz val="10"/>
        <rFont val="ＭＳ 明朝"/>
        <family val="1"/>
        <charset val="128"/>
      </rPr>
      <t xml:space="preserve">2 7 </t>
    </r>
    <r>
      <rPr>
        <b/>
        <sz val="10"/>
        <color indexed="9"/>
        <rFont val="ＭＳ 明朝"/>
        <family val="1"/>
        <charset val="128"/>
      </rPr>
      <t>年　</t>
    </r>
    <rPh sb="0" eb="1">
      <t>ヒラ</t>
    </rPh>
    <rPh sb="2" eb="3">
      <t>シゲル</t>
    </rPh>
    <phoneticPr fontId="17"/>
  </si>
  <si>
    <t>平成22年</t>
    <phoneticPr fontId="17"/>
  </si>
  <si>
    <t>平成27年</t>
    <phoneticPr fontId="17"/>
  </si>
  <si>
    <t>資料：平成27年国勢調査</t>
    <phoneticPr fontId="17"/>
  </si>
  <si>
    <t>資料：平成27年国勢調査</t>
    <phoneticPr fontId="17"/>
  </si>
  <si>
    <t xml:space="preserve"> 平成27年</t>
    <phoneticPr fontId="17"/>
  </si>
  <si>
    <t>（注）平成22年国勢調査より、1世帯・1人当りの延面積は把握されていない。</t>
    <rPh sb="1" eb="2">
      <t>チュウ</t>
    </rPh>
    <rPh sb="3" eb="5">
      <t>ヘイセイ</t>
    </rPh>
    <rPh sb="7" eb="8">
      <t>ネン</t>
    </rPh>
    <rPh sb="8" eb="10">
      <t>コクセイ</t>
    </rPh>
    <rPh sb="10" eb="12">
      <t>チョウサ</t>
    </rPh>
    <rPh sb="16" eb="18">
      <t>セタイ</t>
    </rPh>
    <rPh sb="20" eb="21">
      <t>ニン</t>
    </rPh>
    <rPh sb="21" eb="22">
      <t>アタ</t>
    </rPh>
    <rPh sb="24" eb="25">
      <t>ノベ</t>
    </rPh>
    <rPh sb="25" eb="27">
      <t>メンセキ</t>
    </rPh>
    <rPh sb="28" eb="30">
      <t>ハアク</t>
    </rPh>
    <phoneticPr fontId="17"/>
  </si>
  <si>
    <t>平成22年</t>
    <phoneticPr fontId="17"/>
  </si>
  <si>
    <t>平成27年</t>
    <phoneticPr fontId="17"/>
  </si>
  <si>
    <t>平成22年</t>
    <phoneticPr fontId="17"/>
  </si>
  <si>
    <t>平成27年</t>
    <phoneticPr fontId="17"/>
  </si>
  <si>
    <t>22年</t>
    <phoneticPr fontId="17"/>
  </si>
  <si>
    <t>27年</t>
    <phoneticPr fontId="17"/>
  </si>
  <si>
    <t>22年</t>
    <phoneticPr fontId="17"/>
  </si>
  <si>
    <t>　　　平成22年国勢調査より、1世帯・1人当りの延面積は把握されていない。</t>
    <rPh sb="3" eb="5">
      <t>ヘイセイ</t>
    </rPh>
    <rPh sb="7" eb="8">
      <t>ネン</t>
    </rPh>
    <rPh sb="8" eb="10">
      <t>コクセイ</t>
    </rPh>
    <rPh sb="10" eb="12">
      <t>チョウサ</t>
    </rPh>
    <rPh sb="16" eb="18">
      <t>セタイ</t>
    </rPh>
    <rPh sb="20" eb="21">
      <t>ニン</t>
    </rPh>
    <rPh sb="21" eb="22">
      <t>アタ</t>
    </rPh>
    <rPh sb="24" eb="25">
      <t>ノベ</t>
    </rPh>
    <rPh sb="25" eb="27">
      <t>メンセキ</t>
    </rPh>
    <rPh sb="28" eb="30">
      <t>ハアク</t>
    </rPh>
    <phoneticPr fontId="17"/>
  </si>
  <si>
    <t>資料：住民基本台帳（市民課）</t>
    <rPh sb="3" eb="9">
      <t>ジュウミンキホンダイチョウ</t>
    </rPh>
    <rPh sb="10" eb="13">
      <t>シミンカ</t>
    </rPh>
    <phoneticPr fontId="17"/>
  </si>
  <si>
    <t xml:space="preserve">資料：住民基本台帳（市民課） </t>
    <rPh sb="3" eb="9">
      <t>ジュウミンキホンダイチョウ</t>
    </rPh>
    <rPh sb="10" eb="13">
      <t>シミンカ</t>
    </rPh>
    <phoneticPr fontId="17"/>
  </si>
  <si>
    <t>資料：住民基本台帳（市民課）</t>
    <rPh sb="3" eb="9">
      <t>ジュウミンキホンダイチョウ</t>
    </rPh>
    <rPh sb="10" eb="13">
      <t>シミンカ</t>
    </rPh>
    <phoneticPr fontId="17"/>
  </si>
  <si>
    <t>資料：住民基本台帳（市民課）</t>
    <phoneticPr fontId="17"/>
  </si>
  <si>
    <t>県営港川団地</t>
    <rPh sb="0" eb="2">
      <t>ケンエイ</t>
    </rPh>
    <rPh sb="2" eb="6">
      <t>ミナトガワダンチ</t>
    </rPh>
    <phoneticPr fontId="17"/>
  </si>
  <si>
    <t xml:space="preserve">  　　県営港川団地は、平成28年4月1日認可。    </t>
    <phoneticPr fontId="17"/>
  </si>
  <si>
    <t>平成27年国調人口</t>
    <phoneticPr fontId="17"/>
  </si>
  <si>
    <t>　人口増加数では、①沖縄市が 9,030人で最も多く、次に②宜野湾市 4,315人、③本市 3,881人，④豊見城市 3,858人、⑤那覇市 3,481人の順となっている。人口比重（総人口に占める割合）の移動では，沖縄市が 3.7で最も高く、次いで ②豊見城市、③宜野湾市及び与那原町と続いている。
　沖縄県の人口密度は１平方キロメートル当り 628.4人で、前回の平成22年と比べて 16.5人高くなっている。市町村別では、①那覇市が 8,072.7人で最も高く、次いで②本市 5,864.1人、③宜野湾市 4,860.8人の順となっている。</t>
    <rPh sb="10" eb="12">
      <t>オキナワ</t>
    </rPh>
    <rPh sb="30" eb="34">
      <t>ギノワンシ</t>
    </rPh>
    <rPh sb="36" eb="41">
      <t>３１５ニン</t>
    </rPh>
    <rPh sb="43" eb="44">
      <t>ホン</t>
    </rPh>
    <rPh sb="54" eb="57">
      <t>トミグスク</t>
    </rPh>
    <rPh sb="67" eb="69">
      <t>ナハ</t>
    </rPh>
    <rPh sb="107" eb="109">
      <t>オキナワ</t>
    </rPh>
    <rPh sb="126" eb="130">
      <t>トミグスクシ</t>
    </rPh>
    <rPh sb="132" eb="136">
      <t>ギノワンシ</t>
    </rPh>
    <rPh sb="136" eb="137">
      <t>オヨ</t>
    </rPh>
    <rPh sb="138" eb="142">
      <t>ヨナバルチョウ</t>
    </rPh>
    <rPh sb="143" eb="144">
      <t>ツヅ</t>
    </rPh>
    <rPh sb="247" eb="248">
      <t>ニン</t>
    </rPh>
    <phoneticPr fontId="17"/>
  </si>
  <si>
    <t>　古い記録にみる本市の人口は、明治16年に 8,574人とあるが、その後徐々に増加し大正２年には12,088人となっている。やがて昭和に入ると人口の伸びは低調となり、昭和15年まで11,000人台の人口で推移している。
　しかし、昭和25年の第二兵站部隊の移駐 （具志川市天願より）を契機に大幅な人口の流入が生じ、昭和30年には 18,832人で対前回増加率 58.12％という急激な伸びを記録した。
　その後基地の影響もうすれ、増加率は昭和35年 30.16％、40年 25.74％と鈍化の傾向が続いたが、この頃を境に45年 35.52％、50年 41.95％と再び高い増加に転じて、人口急増の傾向を顕著なものとしたが、その後社会増の低下により55年18.54％、60年 16.12％と再び鈍化傾向を示した。
　平成27年10月１日現在の人口は 114,232人で前回 （平成22年）に比べ 3,881人（県下第3位）の増加数となっている。しかし、対前回増加率は 3.52％で、平成22年と同様に人口増加の傾向が緩やかになっている。</t>
    <rPh sb="440" eb="442">
      <t>ヘイセイ</t>
    </rPh>
    <rPh sb="444" eb="445">
      <t>ネン</t>
    </rPh>
    <rPh sb="446" eb="448">
      <t>ドウヨウ</t>
    </rPh>
    <rPh sb="449" eb="451">
      <t>ジンコウ</t>
    </rPh>
    <rPh sb="451" eb="453">
      <t>ゾウカ</t>
    </rPh>
    <rPh sb="454" eb="456">
      <t>ケイコウ</t>
    </rPh>
    <rPh sb="457" eb="458">
      <t>ユル</t>
    </rPh>
    <phoneticPr fontId="17"/>
  </si>
  <si>
    <t>　年齢構造について、過去10回の国勢調査でみていくと、年少人口の構成比の低下、生産年齢人口の構成比の増大、老年人口の漸増という過程で推移しており、平成27年には年少人口が20,910人（18.3％）、生産年齢人口72,626人（同63.6％）、老年人口が19,476人（同 17.0％）となっている。このような傾向は、少産少死型の人口構成への移行を意味しており、近年の家族計画による出生率の低下および医学の進歩による死亡率の低下がその要因となっている。</t>
    <rPh sb="200" eb="202">
      <t>イガク</t>
    </rPh>
    <rPh sb="203" eb="205">
      <t>シンポ</t>
    </rPh>
    <rPh sb="208" eb="211">
      <t>シボウリツ</t>
    </rPh>
    <phoneticPr fontId="17"/>
  </si>
  <si>
    <t>　　　 平成14年4月1日、豊見城市誕生。平成17年4月１日うるま市誕生。 平成17年10月１日宮古島市誕生。</t>
    <rPh sb="4" eb="6">
      <t>ヘイセイ</t>
    </rPh>
    <rPh sb="8" eb="9">
      <t>ネン</t>
    </rPh>
    <rPh sb="10" eb="11">
      <t>ガツ</t>
    </rPh>
    <rPh sb="12" eb="13">
      <t>ニチ</t>
    </rPh>
    <rPh sb="14" eb="15">
      <t>トヨ</t>
    </rPh>
    <rPh sb="15" eb="16">
      <t>ミ</t>
    </rPh>
    <rPh sb="16" eb="17">
      <t>シロ</t>
    </rPh>
    <rPh sb="17" eb="18">
      <t>シ</t>
    </rPh>
    <rPh sb="18" eb="20">
      <t>タンジョウ</t>
    </rPh>
    <phoneticPr fontId="17"/>
  </si>
  <si>
    <t xml:space="preserve">       平成18年1月1日、南城市誕生。</t>
    <phoneticPr fontId="17"/>
  </si>
  <si>
    <t>合計</t>
    <rPh sb="0" eb="2">
      <t>ゴウケイ</t>
    </rPh>
    <phoneticPr fontId="17"/>
  </si>
  <si>
    <t>昭和45年</t>
    <rPh sb="0" eb="2">
      <t>ショウワ</t>
    </rPh>
    <rPh sb="4" eb="5">
      <t>ネン</t>
    </rPh>
    <phoneticPr fontId="17"/>
  </si>
  <si>
    <t>27年</t>
    <rPh sb="2" eb="3">
      <t>ネン</t>
    </rPh>
    <phoneticPr fontId="17"/>
  </si>
  <si>
    <t>（平成27年国勢調査）</t>
    <rPh sb="1" eb="3">
      <t>ヘイセイ</t>
    </rPh>
    <rPh sb="5" eb="6">
      <t>ネン</t>
    </rPh>
    <rPh sb="6" eb="8">
      <t>コクセイ</t>
    </rPh>
    <rPh sb="8" eb="10">
      <t>チョウサ</t>
    </rPh>
    <phoneticPr fontId="17"/>
  </si>
  <si>
    <t>不詳</t>
    <rPh sb="0" eb="2">
      <t>フショウ</t>
    </rPh>
    <phoneticPr fontId="17"/>
  </si>
  <si>
    <t>（平成27年 国勢調査）</t>
    <rPh sb="1" eb="3">
      <t>ヘイセイ</t>
    </rPh>
    <rPh sb="5" eb="6">
      <t>ネン</t>
    </rPh>
    <rPh sb="7" eb="9">
      <t>コクセイ</t>
    </rPh>
    <rPh sb="9" eb="11">
      <t>チョウサ</t>
    </rPh>
    <phoneticPr fontId="17"/>
  </si>
  <si>
    <t>H27国勢調査データ（e-statより）</t>
    <rPh sb="3" eb="5">
      <t>コクセイ</t>
    </rPh>
    <rPh sb="5" eb="7">
      <t>チョウサ</t>
    </rPh>
    <phoneticPr fontId="17"/>
  </si>
  <si>
    <t>※不詳はグラフには含めていない</t>
    <rPh sb="1" eb="3">
      <t>フショウ</t>
    </rPh>
    <rPh sb="9" eb="10">
      <t>フク</t>
    </rPh>
    <phoneticPr fontId="17"/>
  </si>
  <si>
    <t>　本市の平成22年の人口集中地区は、字勢理客から字牧港にかけての国道330号（バイパス）以西の大部分や字大平、字安波茶、字仲間、字前田、字経塚（一部）、字西原及び字当山（一部）の地区から成り立っている。（詳細地区について平成27年は平成29年2月時点で未公表）
　平成27年の面積は12.47平方キロメートルで平成22年より 0.4平方キロメートル（増加率3.3％）増加し、</t>
    <rPh sb="4" eb="6">
      <t>ヘイセイ</t>
    </rPh>
    <rPh sb="8" eb="9">
      <t>ネン</t>
    </rPh>
    <rPh sb="102" eb="104">
      <t>ショウサイ</t>
    </rPh>
    <rPh sb="104" eb="106">
      <t>チク</t>
    </rPh>
    <rPh sb="110" eb="112">
      <t>ヘイセイ</t>
    </rPh>
    <rPh sb="114" eb="115">
      <t>ネン</t>
    </rPh>
    <rPh sb="116" eb="118">
      <t>ヘイセイ</t>
    </rPh>
    <rPh sb="120" eb="121">
      <t>ネン</t>
    </rPh>
    <rPh sb="122" eb="123">
      <t>ガツ</t>
    </rPh>
    <rPh sb="123" eb="125">
      <t>ジテン</t>
    </rPh>
    <rPh sb="126" eb="129">
      <t>ミコウヒョウ</t>
    </rPh>
    <rPh sb="132" eb="134">
      <t>ヘイセイ</t>
    </rPh>
    <rPh sb="136" eb="137">
      <t>ネン</t>
    </rPh>
    <rPh sb="175" eb="177">
      <t>ゾウカ</t>
    </rPh>
    <rPh sb="177" eb="178">
      <t>リツ</t>
    </rPh>
    <rPh sb="183" eb="185">
      <t>ゾウカ</t>
    </rPh>
    <phoneticPr fontId="17"/>
  </si>
  <si>
    <t>市の総面積に占める割合では64.0％となった。また、平成27年の人口集中地区人口は111,169人で、平成22年より4,722人（同4.4％）増加しており、市の総人口に占める割合では、97.3％となった。一方、人口集中地区の人口密度は 8,915人となり、平成22年の8,819人と比べ微増した。</t>
    <rPh sb="3" eb="4">
      <t>メン</t>
    </rPh>
    <phoneticPr fontId="17"/>
  </si>
  <si>
    <t>平成29年</t>
    <phoneticPr fontId="17"/>
  </si>
  <si>
    <t>平成29年</t>
  </si>
  <si>
    <t>その他(都道府県）</t>
  </si>
  <si>
    <t>平成29年版更新済み</t>
    <rPh sb="0" eb="2">
      <t>ヘイセイ</t>
    </rPh>
    <rPh sb="4" eb="6">
      <t>ネンバン</t>
    </rPh>
    <rPh sb="6" eb="8">
      <t>コウシン</t>
    </rPh>
    <rPh sb="8" eb="9">
      <t>ズ</t>
    </rPh>
    <phoneticPr fontId="17"/>
  </si>
  <si>
    <t>H29年版更新なし</t>
    <rPh sb="3" eb="5">
      <t>ネンバン</t>
    </rPh>
    <rPh sb="5" eb="7">
      <t>コウシン</t>
    </rPh>
    <phoneticPr fontId="17"/>
  </si>
  <si>
    <t>平成21年</t>
    <rPh sb="0" eb="2">
      <t>ヘイセイ</t>
    </rPh>
    <rPh sb="4" eb="5">
      <t>ネン</t>
    </rPh>
    <phoneticPr fontId="17"/>
  </si>
  <si>
    <t>平成21年</t>
    <rPh sb="0" eb="2">
      <t>ヘイセイ</t>
    </rPh>
    <rPh sb="4" eb="5">
      <t>ネン</t>
    </rPh>
    <phoneticPr fontId="17"/>
  </si>
  <si>
    <t>平成30年</t>
    <phoneticPr fontId="17"/>
  </si>
  <si>
    <t>平成29年</t>
    <phoneticPr fontId="17"/>
  </si>
  <si>
    <t>平成30年</t>
    <phoneticPr fontId="17"/>
  </si>
  <si>
    <t>30年１月</t>
    <phoneticPr fontId="17"/>
  </si>
  <si>
    <r>
      <t>平成14年</t>
    </r>
    <r>
      <rPr>
        <sz val="10"/>
        <color indexed="9"/>
        <rFont val="ＭＳ 明朝"/>
        <family val="1"/>
        <charset val="128"/>
      </rPr>
      <t>年</t>
    </r>
    <rPh sb="0" eb="2">
      <t>ヘイセイ</t>
    </rPh>
    <rPh sb="4" eb="5">
      <t>ネン</t>
    </rPh>
    <rPh sb="5" eb="6">
      <t>ネン</t>
    </rPh>
    <phoneticPr fontId="17"/>
  </si>
  <si>
    <t>（15）　人口ピラミッド（P50参照）</t>
    <phoneticPr fontId="17"/>
  </si>
  <si>
    <t>（P54参照）</t>
    <phoneticPr fontId="17"/>
  </si>
  <si>
    <t>(P50参照）</t>
    <phoneticPr fontId="17"/>
  </si>
  <si>
    <t>（14）</t>
    <phoneticPr fontId="17"/>
  </si>
  <si>
    <t>　</t>
    <phoneticPr fontId="17"/>
  </si>
  <si>
    <t>（11）</t>
    <phoneticPr fontId="17"/>
  </si>
  <si>
    <t>（9）</t>
    <phoneticPr fontId="17"/>
  </si>
  <si>
    <t>（8）</t>
    <phoneticPr fontId="17"/>
  </si>
  <si>
    <t>（7）</t>
    <phoneticPr fontId="17"/>
  </si>
  <si>
    <t>（６）</t>
    <phoneticPr fontId="17"/>
  </si>
  <si>
    <r>
      <t>Ⅱ　</t>
    </r>
    <r>
      <rPr>
        <b/>
        <sz val="14"/>
        <rFont val="ＭＳ 明朝"/>
        <family val="1"/>
        <charset val="128"/>
      </rPr>
      <t>　人　　　　口</t>
    </r>
    <phoneticPr fontId="17"/>
  </si>
  <si>
    <t>平成20年</t>
    <rPh sb="0" eb="2">
      <t>ヘイセイ</t>
    </rPh>
    <rPh sb="4" eb="5">
      <t>ネン</t>
    </rPh>
    <phoneticPr fontId="17"/>
  </si>
  <si>
    <t>平成30年</t>
    <rPh sb="0" eb="2">
      <t>ヘイセイ</t>
    </rPh>
    <rPh sb="4" eb="5">
      <t>ネン</t>
    </rPh>
    <phoneticPr fontId="17"/>
  </si>
  <si>
    <t>H30年版更新なし</t>
    <rPh sb="3" eb="5">
      <t>ネンバン</t>
    </rPh>
    <rPh sb="5" eb="7">
      <t>コウシン</t>
    </rPh>
    <phoneticPr fontId="17"/>
  </si>
  <si>
    <t>東京都</t>
  </si>
  <si>
    <t>大阪府</t>
  </si>
  <si>
    <t>福岡県</t>
  </si>
  <si>
    <t>神奈川県</t>
  </si>
  <si>
    <t>愛知県</t>
  </si>
  <si>
    <t>千葉県</t>
  </si>
  <si>
    <t>埼玉県</t>
  </si>
  <si>
    <t>鹿児島県</t>
  </si>
  <si>
    <t>兵庫県</t>
  </si>
  <si>
    <t>北海道</t>
  </si>
  <si>
    <t>平成30年版更新済み</t>
    <rPh sb="0" eb="2">
      <t>ヘイセイ</t>
    </rPh>
    <rPh sb="4" eb="6">
      <t>ネンバン</t>
    </rPh>
    <rPh sb="6" eb="8">
      <t>コウシン</t>
    </rPh>
    <rPh sb="8" eb="9">
      <t>ズ</t>
    </rPh>
    <phoneticPr fontId="17"/>
  </si>
  <si>
    <t>Ⅱ　人　　口</t>
    <phoneticPr fontId="17"/>
  </si>
  <si>
    <t xml:space="preserve">（18）  年齢（各歳）別、男女別人口（平成30年12月末日現在）                                                                  </t>
    <phoneticPr fontId="17"/>
  </si>
  <si>
    <t xml:space="preserve">（18）  年齢（各歳）別、男女別人口（平成30年12月末日現在）                                                                  </t>
    <phoneticPr fontId="17"/>
  </si>
  <si>
    <t>人  口（平成30年）</t>
    <phoneticPr fontId="17"/>
  </si>
  <si>
    <t>平成30年</t>
    <phoneticPr fontId="17"/>
  </si>
  <si>
    <t>（24）  都道府県別人口移動状況（平成30年１月１日～12月31日）</t>
    <phoneticPr fontId="17"/>
  </si>
  <si>
    <t>（23）  市町村別人口移動状況(平成30年１月１日～12月31日）</t>
    <phoneticPr fontId="17"/>
  </si>
  <si>
    <t>2</t>
    <phoneticPr fontId="17"/>
  </si>
  <si>
    <t>3</t>
    <phoneticPr fontId="17"/>
  </si>
  <si>
    <t>4</t>
  </si>
  <si>
    <t>6</t>
  </si>
  <si>
    <t>7</t>
    <phoneticPr fontId="17"/>
  </si>
  <si>
    <t>8</t>
  </si>
  <si>
    <t>9</t>
    <phoneticPr fontId="17"/>
  </si>
  <si>
    <t>10</t>
  </si>
  <si>
    <t>5</t>
    <phoneticPr fontId="17"/>
  </si>
  <si>
    <t>11</t>
    <phoneticPr fontId="17"/>
  </si>
</sst>
</file>

<file path=xl/styles.xml><?xml version="1.0" encoding="utf-8"?>
<styleSheet xmlns="http://schemas.openxmlformats.org/spreadsheetml/2006/main" xmlns:mc="http://schemas.openxmlformats.org/markup-compatibility/2006" xmlns:x14ac="http://schemas.microsoft.com/office/spreadsheetml/2009/9/ac" mc:Ignorable="x14ac">
  <numFmts count="39">
    <numFmt numFmtId="41" formatCode="_ * #,##0_ ;_ * \-#,##0_ ;_ * &quot;-&quot;_ ;_ @_ "/>
    <numFmt numFmtId="176" formatCode="#,##0_);[Red]\(#,##0\)"/>
    <numFmt numFmtId="177" formatCode="#,##0.0_);[Red]\(#,##0.0\)"/>
    <numFmt numFmtId="178" formatCode="0.0%"/>
    <numFmt numFmtId="179" formatCode="#,##0_ "/>
    <numFmt numFmtId="180" formatCode="0.0_ "/>
    <numFmt numFmtId="181" formatCode="#,##0_ ;[Red]\-#,##0\ "/>
    <numFmt numFmtId="182" formatCode="0.00_ "/>
    <numFmt numFmtId="183" formatCode="#,##0;&quot;△&quot;#,##0"/>
    <numFmt numFmtId="184" formatCode="#,##0.0;&quot;△&quot;#,##0.0"/>
    <numFmt numFmtId="185" formatCode="0.00_);[Red]\(0.00\)"/>
    <numFmt numFmtId="186" formatCode="_ * #,##0\ ;_ * &quot;△&quot;#,##0\ ;_ * \-_ ;_ @_ "/>
    <numFmt numFmtId="187" formatCode="_ * #,##0.00\ ;_ * &quot;△&quot;#,##0.00\ ;_ * \-_ ;_ @_ "/>
    <numFmt numFmtId="188" formatCode="0;&quot;△ &quot;0"/>
    <numFmt numFmtId="189" formatCode="_ * #,##0.0_ ;_ * \-#,##0.0_ ;_ * \-?_ ;_ @_ "/>
    <numFmt numFmtId="190" formatCode="_ * #,##0_ ;_ * \-#,##0_ ;_ * \-_ ;_ @_ "/>
    <numFmt numFmtId="191" formatCode="#,##0;[Red]#,##0"/>
    <numFmt numFmtId="192" formatCode="_ * #,##0_ ;_ * \-#,##0_ ;_ @_ "/>
    <numFmt numFmtId="193" formatCode="_ * #,##0_ ;_ * &quot;△&quot;#,##0_ ;_ @_ "/>
    <numFmt numFmtId="194" formatCode="0_ "/>
    <numFmt numFmtId="195" formatCode="_ * #,##0;_ * &quot;△&quot;#,##0;_ * \-_ ;_ @_ "/>
    <numFmt numFmtId="196" formatCode="#,##0&quot;人&quot;"/>
    <numFmt numFmtId="197" formatCode="#,##0.0_ "/>
    <numFmt numFmtId="198" formatCode="#,##0_);\(#,##0\)"/>
    <numFmt numFmtId="199" formatCode="0.0;[Red]0.0"/>
    <numFmt numFmtId="200" formatCode="#,##0.00_);[Red]\(#,##0.00\)"/>
    <numFmt numFmtId="201" formatCode="_ * #,##0_ ;_ * &quot;△&quot;#,##0_ ;_ * \-_ ;_ @_ "/>
    <numFmt numFmtId="202" formatCode="#,##0.0\ ;&quot;△&quot;#,##0.0\ "/>
    <numFmt numFmtId="203" formatCode="#,##0\ ;&quot;△&quot;#,##0\ "/>
    <numFmt numFmtId="204" formatCode="_ #,##0_ ;_ &quot;△&quot;#,##0_ ;_ @_ "/>
    <numFmt numFmtId="205" formatCode="0.0_);[Red]\(0.0\)"/>
    <numFmt numFmtId="206" formatCode="_ &quot;¥&quot;* #,##0.0_ ;_ &quot;¥&quot;* \-#,##0.0_ ;_ &quot;¥&quot;* \-?_ ;_ @_ "/>
    <numFmt numFmtId="207" formatCode="0_);\(0\)"/>
    <numFmt numFmtId="208" formatCode="#,##0.0_);\(#,##0.0\)"/>
    <numFmt numFmtId="209" formatCode="#,##0.00_);\(#,##0.00\)"/>
    <numFmt numFmtId="210" formatCode="#.0&quot;%&quot;"/>
    <numFmt numFmtId="211" formatCode="_ * #,##0.0_ ;_ * \-#,##0.0_ ;_ * \-_ ;_ @_ "/>
    <numFmt numFmtId="212" formatCode="_ * #,##0\ ;_ * \△#,##0\ ;_ * \-_ ;_ @_ "/>
    <numFmt numFmtId="213" formatCode="#,##0;&quot;△ &quot;#,##0"/>
  </numFmts>
  <fonts count="28">
    <font>
      <sz val="11"/>
      <color indexed="8"/>
      <name val="ＭＳ Ｐゴシック"/>
      <family val="3"/>
      <charset val="128"/>
    </font>
    <font>
      <sz val="10"/>
      <name val="ＭＳ 明朝"/>
      <family val="1"/>
      <charset val="128"/>
    </font>
    <font>
      <b/>
      <sz val="11"/>
      <name val="ＭＳ Ｐゴシック"/>
      <family val="3"/>
      <charset val="128"/>
    </font>
    <font>
      <b/>
      <sz val="10"/>
      <name val="ＭＳ 明朝"/>
      <family val="1"/>
      <charset val="128"/>
    </font>
    <font>
      <sz val="10"/>
      <color indexed="9"/>
      <name val="ＭＳ 明朝"/>
      <family val="1"/>
      <charset val="128"/>
    </font>
    <font>
      <b/>
      <sz val="10"/>
      <color indexed="9"/>
      <name val="ＭＳ 明朝"/>
      <family val="1"/>
      <charset val="128"/>
    </font>
    <font>
      <sz val="9"/>
      <name val="ＭＳ 明朝"/>
      <family val="1"/>
      <charset val="128"/>
    </font>
    <font>
      <sz val="11"/>
      <name val="ＭＳ 明朝"/>
      <family val="1"/>
      <charset val="128"/>
    </font>
    <font>
      <sz val="10"/>
      <name val="ＭＳ Ｐゴシック"/>
      <family val="3"/>
      <charset val="128"/>
    </font>
    <font>
      <b/>
      <sz val="10"/>
      <name val="ＭＳ Ｐゴシック"/>
      <family val="3"/>
      <charset val="128"/>
    </font>
    <font>
      <sz val="8"/>
      <name val="ＭＳ 明朝"/>
      <family val="1"/>
      <charset val="128"/>
    </font>
    <font>
      <sz val="11"/>
      <name val="ＭＳ Ｐゴシック"/>
      <family val="3"/>
      <charset val="128"/>
    </font>
    <font>
      <sz val="14"/>
      <name val="ＭＳ 明朝"/>
      <family val="1"/>
      <charset val="128"/>
    </font>
    <font>
      <b/>
      <sz val="14"/>
      <name val="ＭＳ 明朝"/>
      <family val="1"/>
      <charset val="128"/>
    </font>
    <font>
      <sz val="12"/>
      <name val="ＭＳ 明朝"/>
      <family val="1"/>
      <charset val="128"/>
    </font>
    <font>
      <sz val="10"/>
      <name val="ＭＳ ゴシック"/>
      <family val="3"/>
      <charset val="128"/>
    </font>
    <font>
      <sz val="11"/>
      <color indexed="8"/>
      <name val="ＭＳ Ｐゴシック"/>
      <family val="3"/>
      <charset val="128"/>
    </font>
    <font>
      <sz val="6"/>
      <name val="ＭＳ Ｐゴシック"/>
      <family val="3"/>
      <charset val="128"/>
    </font>
    <font>
      <sz val="16"/>
      <name val="ＭＳ 明朝"/>
      <family val="1"/>
      <charset val="128"/>
    </font>
    <font>
      <b/>
      <sz val="9"/>
      <color indexed="81"/>
      <name val="ＭＳ Ｐゴシック"/>
      <family val="3"/>
      <charset val="128"/>
    </font>
    <font>
      <sz val="11"/>
      <color indexed="8"/>
      <name val="ＭＳ 明朝"/>
      <family val="1"/>
      <charset val="128"/>
    </font>
    <font>
      <sz val="10"/>
      <color indexed="8"/>
      <name val="ＭＳ 明朝"/>
      <family val="1"/>
      <charset val="128"/>
    </font>
    <font>
      <b/>
      <sz val="11"/>
      <color indexed="8"/>
      <name val="ＭＳ Ｐゴシック"/>
      <family val="3"/>
      <charset val="128"/>
    </font>
    <font>
      <sz val="11"/>
      <color indexed="9"/>
      <name val="ＭＳ Ｐゴシック"/>
      <family val="3"/>
      <charset val="128"/>
    </font>
    <font>
      <sz val="10"/>
      <color rgb="FFFF0000"/>
      <name val="ＭＳ 明朝"/>
      <family val="1"/>
      <charset val="128"/>
    </font>
    <font>
      <sz val="10"/>
      <color theme="0"/>
      <name val="ＭＳ 明朝"/>
      <family val="1"/>
      <charset val="128"/>
    </font>
    <font>
      <sz val="9"/>
      <color rgb="FFFF0000"/>
      <name val="ＭＳ Ｐゴシック"/>
      <family val="3"/>
      <charset val="128"/>
    </font>
    <font>
      <sz val="11"/>
      <color rgb="FF9F9F9F"/>
      <name val="ＭＳ Ｐゴシック"/>
      <family val="3"/>
      <charset val="128"/>
    </font>
  </fonts>
  <fills count="2">
    <fill>
      <patternFill patternType="none"/>
    </fill>
    <fill>
      <patternFill patternType="gray125"/>
    </fill>
  </fills>
  <borders count="122">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style="thin">
        <color indexed="8"/>
      </top>
      <bottom/>
      <diagonal/>
    </border>
    <border>
      <left/>
      <right/>
      <top style="thin">
        <color indexed="8"/>
      </top>
      <bottom style="thin">
        <color indexed="8"/>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style="thin">
        <color indexed="8"/>
      </right>
      <top/>
      <bottom/>
      <diagonal/>
    </border>
    <border>
      <left/>
      <right style="thin">
        <color indexed="8"/>
      </right>
      <top/>
      <bottom style="thin">
        <color indexed="8"/>
      </bottom>
      <diagonal/>
    </border>
    <border>
      <left/>
      <right/>
      <top/>
      <bottom style="thin">
        <color indexed="8"/>
      </bottom>
      <diagonal/>
    </border>
    <border>
      <left style="thin">
        <color indexed="8"/>
      </left>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top/>
      <bottom/>
      <diagonal/>
    </border>
    <border>
      <left/>
      <right/>
      <top/>
      <bottom style="medium">
        <color indexed="64"/>
      </bottom>
      <diagonal/>
    </border>
    <border>
      <left style="thin">
        <color indexed="8"/>
      </left>
      <right/>
      <top/>
      <bottom style="medium">
        <color indexed="64"/>
      </bottom>
      <diagonal/>
    </border>
    <border>
      <left style="thin">
        <color indexed="64"/>
      </left>
      <right/>
      <top/>
      <bottom/>
      <diagonal/>
    </border>
    <border>
      <left style="thin">
        <color indexed="8"/>
      </left>
      <right style="medium">
        <color indexed="64"/>
      </right>
      <top/>
      <bottom style="thin">
        <color indexed="8"/>
      </bottom>
      <diagonal/>
    </border>
    <border>
      <left style="medium">
        <color indexed="64"/>
      </left>
      <right style="thin">
        <color indexed="8"/>
      </right>
      <top style="thin">
        <color indexed="8"/>
      </top>
      <bottom/>
      <diagonal/>
    </border>
    <border>
      <left style="medium">
        <color indexed="64"/>
      </left>
      <right style="thin">
        <color indexed="8"/>
      </right>
      <top/>
      <bottom/>
      <diagonal/>
    </border>
    <border>
      <left style="medium">
        <color indexed="64"/>
      </left>
      <right/>
      <top/>
      <bottom style="thin">
        <color indexed="8"/>
      </bottom>
      <diagonal/>
    </border>
    <border>
      <left style="thin">
        <color indexed="8"/>
      </left>
      <right/>
      <top style="medium">
        <color indexed="64"/>
      </top>
      <bottom/>
      <diagonal/>
    </border>
    <border>
      <left style="thin">
        <color indexed="8"/>
      </left>
      <right style="medium">
        <color indexed="64"/>
      </right>
      <top/>
      <bottom/>
      <diagonal/>
    </border>
    <border>
      <left style="medium">
        <color indexed="64"/>
      </left>
      <right/>
      <top style="medium">
        <color indexed="64"/>
      </top>
      <bottom/>
      <diagonal/>
    </border>
    <border>
      <left/>
      <right style="thin">
        <color indexed="8"/>
      </right>
      <top style="medium">
        <color indexed="64"/>
      </top>
      <bottom/>
      <diagonal/>
    </border>
    <border>
      <left/>
      <right/>
      <top style="medium">
        <color indexed="64"/>
      </top>
      <bottom/>
      <diagonal/>
    </border>
    <border>
      <left style="thin">
        <color indexed="8"/>
      </left>
      <right style="medium">
        <color indexed="64"/>
      </right>
      <top style="medium">
        <color indexed="64"/>
      </top>
      <bottom/>
      <diagonal/>
    </border>
    <border>
      <left style="medium">
        <color indexed="64"/>
      </left>
      <right/>
      <top style="thin">
        <color indexed="8"/>
      </top>
      <bottom/>
      <diagonal/>
    </border>
    <border>
      <left/>
      <right style="medium">
        <color indexed="64"/>
      </right>
      <top style="thin">
        <color indexed="8"/>
      </top>
      <bottom/>
      <diagonal/>
    </border>
    <border>
      <left/>
      <right style="medium">
        <color indexed="64"/>
      </right>
      <top/>
      <bottom/>
      <diagonal/>
    </border>
    <border>
      <left style="medium">
        <color indexed="64"/>
      </left>
      <right/>
      <top/>
      <bottom style="medium">
        <color indexed="64"/>
      </bottom>
      <diagonal/>
    </border>
    <border>
      <left/>
      <right style="thin">
        <color indexed="8"/>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medium">
        <color indexed="64"/>
      </top>
      <bottom style="thin">
        <color indexed="8"/>
      </bottom>
      <diagonal/>
    </border>
    <border>
      <left/>
      <right style="medium">
        <color indexed="64"/>
      </right>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style="thin">
        <color indexed="8"/>
      </top>
      <bottom/>
      <diagonal/>
    </border>
    <border>
      <left/>
      <right style="medium">
        <color indexed="64"/>
      </right>
      <top style="thin">
        <color indexed="8"/>
      </top>
      <bottom style="thin">
        <color indexed="8"/>
      </bottom>
      <diagonal/>
    </border>
    <border>
      <left style="medium">
        <color indexed="64"/>
      </left>
      <right/>
      <top style="medium">
        <color indexed="64"/>
      </top>
      <bottom style="thin">
        <color indexed="8"/>
      </bottom>
      <diagonal/>
    </border>
    <border>
      <left/>
      <right style="thin">
        <color indexed="8"/>
      </right>
      <top style="medium">
        <color indexed="64"/>
      </top>
      <bottom style="thin">
        <color indexed="8"/>
      </bottom>
      <diagonal/>
    </border>
    <border>
      <left/>
      <right/>
      <top style="medium">
        <color indexed="64"/>
      </top>
      <bottom style="thin">
        <color indexed="8"/>
      </bottom>
      <diagonal/>
    </border>
    <border>
      <left style="thin">
        <color indexed="8"/>
      </left>
      <right style="thin">
        <color indexed="8"/>
      </right>
      <top style="medium">
        <color indexed="64"/>
      </top>
      <bottom/>
      <diagonal/>
    </border>
    <border>
      <left style="thin">
        <color indexed="8"/>
      </left>
      <right style="thin">
        <color indexed="64"/>
      </right>
      <top/>
      <bottom/>
      <diagonal/>
    </border>
    <border>
      <left style="thin">
        <color indexed="8"/>
      </left>
      <right style="thin">
        <color indexed="64"/>
      </right>
      <top/>
      <bottom style="hair">
        <color indexed="8"/>
      </bottom>
      <diagonal/>
    </border>
    <border>
      <left style="thin">
        <color indexed="8"/>
      </left>
      <right style="thin">
        <color indexed="64"/>
      </right>
      <top style="medium">
        <color indexed="64"/>
      </top>
      <bottom/>
      <diagonal/>
    </border>
    <border>
      <left/>
      <right style="medium">
        <color indexed="64"/>
      </right>
      <top style="medium">
        <color indexed="64"/>
      </top>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64"/>
      </right>
      <top style="thin">
        <color indexed="8"/>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8"/>
      </left>
      <right style="medium">
        <color indexed="64"/>
      </right>
      <top style="thin">
        <color indexed="8"/>
      </top>
      <bottom style="medium">
        <color indexed="64"/>
      </bottom>
      <diagonal/>
    </border>
    <border>
      <left style="thin">
        <color indexed="8"/>
      </left>
      <right style="thin">
        <color indexed="64"/>
      </right>
      <top style="medium">
        <color indexed="64"/>
      </top>
      <bottom style="thin">
        <color indexed="8"/>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hair">
        <color indexed="8"/>
      </bottom>
      <diagonal/>
    </border>
    <border>
      <left style="medium">
        <color indexed="64"/>
      </left>
      <right style="thin">
        <color indexed="64"/>
      </right>
      <top/>
      <bottom/>
      <diagonal/>
    </border>
    <border>
      <left style="thin">
        <color indexed="64"/>
      </left>
      <right style="thin">
        <color indexed="8"/>
      </right>
      <top style="medium">
        <color indexed="64"/>
      </top>
      <bottom style="thin">
        <color indexed="8"/>
      </bottom>
      <diagonal/>
    </border>
    <border>
      <left/>
      <right style="thin">
        <color indexed="64"/>
      </right>
      <top style="thin">
        <color indexed="8"/>
      </top>
      <bottom/>
      <diagonal/>
    </border>
    <border>
      <left style="medium">
        <color indexed="64"/>
      </left>
      <right/>
      <top style="thin">
        <color indexed="8"/>
      </top>
      <bottom style="thin">
        <color indexed="8"/>
      </bottom>
      <diagonal/>
    </border>
    <border>
      <left style="medium">
        <color indexed="64"/>
      </left>
      <right style="thin">
        <color indexed="8"/>
      </right>
      <top/>
      <bottom style="thin">
        <color indexed="8"/>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style="medium">
        <color indexed="64"/>
      </bottom>
      <diagonal/>
    </border>
    <border>
      <left style="medium">
        <color indexed="64"/>
      </left>
      <right style="thin">
        <color indexed="8"/>
      </right>
      <top style="thin">
        <color indexed="8"/>
      </top>
      <bottom style="medium">
        <color indexed="64"/>
      </bottom>
      <diagonal/>
    </border>
    <border>
      <left/>
      <right style="medium">
        <color indexed="64"/>
      </right>
      <top style="medium">
        <color indexed="64"/>
      </top>
      <bottom style="thin">
        <color indexed="8"/>
      </bottom>
      <diagonal/>
    </border>
    <border>
      <left style="medium">
        <color indexed="64"/>
      </left>
      <right style="thin">
        <color indexed="8"/>
      </right>
      <top style="medium">
        <color indexed="64"/>
      </top>
      <bottom/>
      <diagonal/>
    </border>
    <border>
      <left style="thin">
        <color indexed="8"/>
      </left>
      <right style="thin">
        <color indexed="8"/>
      </right>
      <top/>
      <bottom style="medium">
        <color indexed="64"/>
      </bottom>
      <diagonal/>
    </border>
    <border>
      <left/>
      <right style="medium">
        <color indexed="8"/>
      </right>
      <top/>
      <bottom/>
      <diagonal/>
    </border>
    <border>
      <left/>
      <right style="medium">
        <color indexed="8"/>
      </right>
      <top/>
      <bottom style="medium">
        <color indexed="64"/>
      </bottom>
      <diagonal/>
    </border>
    <border>
      <left style="thin">
        <color indexed="64"/>
      </left>
      <right style="thin">
        <color indexed="8"/>
      </right>
      <top style="thin">
        <color indexed="8"/>
      </top>
      <bottom style="thin">
        <color indexed="8"/>
      </bottom>
      <diagonal/>
    </border>
    <border>
      <left style="medium">
        <color indexed="64"/>
      </left>
      <right style="thin">
        <color indexed="64"/>
      </right>
      <top/>
      <bottom style="medium">
        <color indexed="64"/>
      </bottom>
      <diagonal/>
    </border>
    <border>
      <left style="thin">
        <color indexed="8"/>
      </left>
      <right style="thin">
        <color indexed="64"/>
      </right>
      <top style="thin">
        <color indexed="8"/>
      </top>
      <bottom style="thin">
        <color indexed="8"/>
      </bottom>
      <diagonal/>
    </border>
    <border>
      <left/>
      <right/>
      <top style="thin">
        <color indexed="64"/>
      </top>
      <bottom/>
      <diagonal/>
    </border>
    <border>
      <left/>
      <right style="medium">
        <color indexed="64"/>
      </right>
      <top style="thin">
        <color indexed="64"/>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64"/>
      </right>
      <top style="medium">
        <color indexed="8"/>
      </top>
      <bottom style="thin">
        <color indexed="8"/>
      </bottom>
      <diagonal/>
    </border>
    <border>
      <left style="thin">
        <color indexed="64"/>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right style="medium">
        <color indexed="8"/>
      </right>
      <top style="thin">
        <color indexed="8"/>
      </top>
      <bottom/>
      <diagonal/>
    </border>
    <border>
      <left style="thin">
        <color indexed="64"/>
      </left>
      <right/>
      <top style="medium">
        <color indexed="64"/>
      </top>
      <bottom style="thin">
        <color indexed="8"/>
      </bottom>
      <diagonal/>
    </border>
    <border>
      <left style="thin">
        <color indexed="8"/>
      </left>
      <right style="thin">
        <color indexed="64"/>
      </right>
      <top/>
      <bottom style="thin">
        <color indexed="64"/>
      </bottom>
      <diagonal/>
    </border>
    <border>
      <left/>
      <right style="medium">
        <color auto="1"/>
      </right>
      <top/>
      <bottom/>
      <diagonal/>
    </border>
    <border>
      <left style="medium">
        <color indexed="64"/>
      </left>
      <right style="thin">
        <color indexed="64"/>
      </right>
      <top style="thin">
        <color indexed="8"/>
      </top>
      <bottom/>
      <diagonal/>
    </border>
    <border>
      <left style="thin">
        <color indexed="64"/>
      </left>
      <right/>
      <top style="thin">
        <color indexed="8"/>
      </top>
      <bottom/>
      <diagonal/>
    </border>
    <border>
      <left style="thin">
        <color indexed="64"/>
      </left>
      <right/>
      <top/>
      <bottom style="medium">
        <color indexed="64"/>
      </bottom>
      <diagonal/>
    </border>
    <border>
      <left style="thin">
        <color indexed="64"/>
      </left>
      <right/>
      <top style="thin">
        <color indexed="64"/>
      </top>
      <bottom/>
      <diagonal/>
    </border>
    <border>
      <left/>
      <right style="medium">
        <color auto="1"/>
      </right>
      <top style="thin">
        <color auto="1"/>
      </top>
      <bottom/>
      <diagonal/>
    </border>
    <border>
      <left/>
      <right style="medium">
        <color auto="1"/>
      </right>
      <top/>
      <bottom style="medium">
        <color auto="1"/>
      </bottom>
      <diagonal/>
    </border>
    <border>
      <left style="thin">
        <color auto="1"/>
      </left>
      <right/>
      <top/>
      <bottom/>
      <diagonal/>
    </border>
    <border>
      <left style="thin">
        <color auto="1"/>
      </left>
      <right/>
      <top/>
      <bottom style="medium">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medium">
        <color auto="1"/>
      </right>
      <top style="medium">
        <color auto="1"/>
      </top>
      <bottom style="thin">
        <color auto="1"/>
      </bottom>
      <diagonal/>
    </border>
    <border>
      <left style="thin">
        <color auto="1"/>
      </left>
      <right/>
      <top style="medium">
        <color auto="1"/>
      </top>
      <bottom style="thin">
        <color auto="1"/>
      </bottom>
      <diagonal/>
    </border>
  </borders>
  <cellStyleXfs count="8">
    <xf numFmtId="0" fontId="0" fillId="0" borderId="0">
      <alignment vertical="center"/>
    </xf>
    <xf numFmtId="9" fontId="16" fillId="0" borderId="0" applyFill="0" applyBorder="0" applyProtection="0">
      <alignment vertical="center"/>
    </xf>
    <xf numFmtId="38" fontId="11" fillId="0" borderId="0" applyFont="0" applyFill="0" applyBorder="0" applyAlignment="0" applyProtection="0"/>
    <xf numFmtId="38" fontId="11" fillId="0" borderId="0" applyFont="0" applyFill="0" applyBorder="0" applyAlignment="0" applyProtection="0"/>
    <xf numFmtId="0" fontId="16" fillId="0" borderId="0">
      <alignment vertical="center"/>
    </xf>
    <xf numFmtId="0" fontId="11" fillId="0" borderId="0" applyBorder="0"/>
    <xf numFmtId="0" fontId="11" fillId="0" borderId="0" applyBorder="0"/>
    <xf numFmtId="38" fontId="16" fillId="0" borderId="0" applyFont="0" applyFill="0" applyBorder="0" applyAlignment="0" applyProtection="0">
      <alignment vertical="center"/>
    </xf>
  </cellStyleXfs>
  <cellXfs count="1034">
    <xf numFmtId="0" fontId="0" fillId="0" borderId="0" xfId="0">
      <alignment vertical="center"/>
    </xf>
    <xf numFmtId="0" fontId="0" fillId="0" borderId="0" xfId="0" applyFont="1">
      <alignment vertical="center"/>
    </xf>
    <xf numFmtId="176" fontId="1" fillId="0" borderId="0" xfId="0" applyNumberFormat="1" applyFont="1" applyBorder="1" applyAlignment="1">
      <alignment vertical="center"/>
    </xf>
    <xf numFmtId="176" fontId="1" fillId="0" borderId="0" xfId="0" applyNumberFormat="1" applyFont="1" applyFill="1" applyBorder="1" applyAlignment="1">
      <alignment vertical="center"/>
    </xf>
    <xf numFmtId="0" fontId="1" fillId="0" borderId="1" xfId="0" applyFont="1" applyBorder="1" applyAlignment="1">
      <alignment horizontal="center" vertical="center"/>
    </xf>
    <xf numFmtId="0" fontId="1" fillId="0" borderId="0" xfId="0" applyFont="1" applyAlignment="1">
      <alignment vertical="center"/>
    </xf>
    <xf numFmtId="0" fontId="0" fillId="0" borderId="0" xfId="0" applyAlignment="1">
      <alignment vertical="center"/>
    </xf>
    <xf numFmtId="0" fontId="1" fillId="0" borderId="0" xfId="0" applyFont="1" applyAlignment="1">
      <alignment horizontal="righ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179" fontId="1" fillId="0" borderId="0" xfId="0" applyNumberFormat="1" applyFont="1" applyBorder="1" applyAlignment="1">
      <alignment vertical="center"/>
    </xf>
    <xf numFmtId="0" fontId="1" fillId="0" borderId="0" xfId="0" applyFont="1" applyFill="1" applyAlignment="1">
      <alignment vertical="center"/>
    </xf>
    <xf numFmtId="0" fontId="1" fillId="0" borderId="0" xfId="0" applyFont="1" applyFill="1" applyAlignment="1">
      <alignment horizontal="right" vertical="center"/>
    </xf>
    <xf numFmtId="0" fontId="1" fillId="0" borderId="5" xfId="0" applyFont="1" applyFill="1" applyBorder="1" applyAlignment="1">
      <alignment vertical="center"/>
    </xf>
    <xf numFmtId="0" fontId="1" fillId="0" borderId="6" xfId="0" applyFont="1" applyFill="1" applyBorder="1" applyAlignment="1">
      <alignment vertical="center"/>
    </xf>
    <xf numFmtId="176" fontId="1" fillId="0" borderId="5" xfId="0" applyNumberFormat="1" applyFont="1" applyFill="1" applyBorder="1" applyAlignment="1">
      <alignment vertical="center"/>
    </xf>
    <xf numFmtId="0" fontId="1" fillId="0" borderId="3" xfId="0" applyFont="1" applyFill="1" applyBorder="1" applyAlignment="1">
      <alignment vertical="center"/>
    </xf>
    <xf numFmtId="0" fontId="1" fillId="0" borderId="8" xfId="0" applyFont="1" applyFill="1" applyBorder="1" applyAlignment="1">
      <alignment vertical="center"/>
    </xf>
    <xf numFmtId="0" fontId="1" fillId="0" borderId="0" xfId="0" applyFont="1" applyBorder="1" applyAlignment="1">
      <alignment vertical="center"/>
    </xf>
    <xf numFmtId="185" fontId="3" fillId="0" borderId="5" xfId="0" applyNumberFormat="1" applyFont="1" applyFill="1" applyBorder="1" applyAlignment="1">
      <alignment horizontal="right" vertical="center" indent="1"/>
    </xf>
    <xf numFmtId="188" fontId="3" fillId="0" borderId="0" xfId="0" applyNumberFormat="1" applyFont="1" applyFill="1" applyBorder="1" applyAlignment="1">
      <alignment horizontal="right" vertical="center" indent="1"/>
    </xf>
    <xf numFmtId="186" fontId="1" fillId="0" borderId="0" xfId="0" applyNumberFormat="1" applyFont="1" applyFill="1" applyBorder="1" applyAlignment="1">
      <alignment horizontal="right" vertical="center"/>
    </xf>
    <xf numFmtId="0" fontId="8" fillId="0" borderId="0" xfId="0" applyFont="1" applyFill="1" applyAlignment="1">
      <alignment vertical="center"/>
    </xf>
    <xf numFmtId="0" fontId="6" fillId="0" borderId="8" xfId="0" applyFont="1" applyFill="1" applyBorder="1" applyAlignment="1">
      <alignment horizontal="center" vertical="center"/>
    </xf>
    <xf numFmtId="49" fontId="1" fillId="0" borderId="8" xfId="0" applyNumberFormat="1" applyFont="1" applyFill="1" applyBorder="1" applyAlignment="1">
      <alignment horizontal="center" vertical="center"/>
    </xf>
    <xf numFmtId="49" fontId="1" fillId="0" borderId="3" xfId="0" applyNumberFormat="1" applyFont="1" applyFill="1" applyBorder="1" applyAlignment="1">
      <alignment horizontal="center" vertical="center"/>
    </xf>
    <xf numFmtId="0" fontId="6" fillId="0" borderId="3" xfId="0" applyFont="1" applyFill="1" applyBorder="1" applyAlignment="1">
      <alignment horizontal="center" vertical="center"/>
    </xf>
    <xf numFmtId="186" fontId="1" fillId="0" borderId="0" xfId="0" applyNumberFormat="1" applyFont="1" applyFill="1" applyBorder="1" applyAlignment="1">
      <alignment vertical="center"/>
    </xf>
    <xf numFmtId="0" fontId="9" fillId="0" borderId="0" xfId="0" applyFont="1" applyFill="1" applyAlignment="1">
      <alignment vertical="center"/>
    </xf>
    <xf numFmtId="192" fontId="1" fillId="0" borderId="0" xfId="0" applyNumberFormat="1" applyFont="1" applyFill="1" applyBorder="1" applyAlignment="1">
      <alignment vertical="center"/>
    </xf>
    <xf numFmtId="193" fontId="1" fillId="0" borderId="0" xfId="0" applyNumberFormat="1" applyFont="1" applyFill="1" applyBorder="1" applyAlignment="1">
      <alignment vertical="center"/>
    </xf>
    <xf numFmtId="0" fontId="1" fillId="0" borderId="0" xfId="0" applyFont="1" applyBorder="1" applyAlignment="1">
      <alignment horizontal="justify" vertical="center"/>
    </xf>
    <xf numFmtId="0" fontId="3" fillId="0" borderId="0" xfId="0" applyFont="1" applyBorder="1" applyAlignment="1">
      <alignment vertical="center"/>
    </xf>
    <xf numFmtId="0" fontId="7" fillId="0" borderId="0" xfId="0" applyFont="1">
      <alignment vertical="center"/>
    </xf>
    <xf numFmtId="0" fontId="7" fillId="0" borderId="0" xfId="0" applyFont="1" applyBorder="1">
      <alignment vertical="center"/>
    </xf>
    <xf numFmtId="0" fontId="3" fillId="0" borderId="0" xfId="0" applyFont="1" applyAlignment="1">
      <alignment vertical="center"/>
    </xf>
    <xf numFmtId="0" fontId="3" fillId="0" borderId="0" xfId="0" applyFont="1" applyAlignment="1">
      <alignment horizontal="center" vertical="center"/>
    </xf>
    <xf numFmtId="0" fontId="1" fillId="0" borderId="0" xfId="0" applyFont="1" applyAlignment="1">
      <alignment vertical="center" shrinkToFit="1"/>
    </xf>
    <xf numFmtId="0" fontId="7" fillId="0" borderId="0" xfId="0" applyFont="1" applyAlignment="1">
      <alignment vertical="top"/>
    </xf>
    <xf numFmtId="0" fontId="1" fillId="0" borderId="0" xfId="0" applyFont="1" applyAlignment="1">
      <alignment horizontal="left" vertical="center" shrinkToFit="1"/>
    </xf>
    <xf numFmtId="0" fontId="7" fillId="0" borderId="0" xfId="0" applyFont="1" applyAlignment="1">
      <alignment vertical="center"/>
    </xf>
    <xf numFmtId="0" fontId="7" fillId="0" borderId="0" xfId="0" applyFont="1" applyBorder="1" applyAlignment="1">
      <alignment vertical="center"/>
    </xf>
    <xf numFmtId="0" fontId="1" fillId="0" borderId="10" xfId="0" applyFont="1" applyBorder="1" applyAlignment="1">
      <alignment horizontal="center" vertical="center"/>
    </xf>
    <xf numFmtId="189" fontId="1" fillId="0" borderId="9" xfId="0" applyNumberFormat="1" applyFont="1" applyBorder="1" applyAlignment="1">
      <alignment horizontal="right" vertical="center"/>
    </xf>
    <xf numFmtId="189" fontId="1" fillId="0" borderId="0" xfId="0" applyNumberFormat="1" applyFont="1" applyBorder="1" applyAlignment="1">
      <alignment horizontal="right" vertical="center"/>
    </xf>
    <xf numFmtId="203" fontId="1" fillId="0" borderId="0" xfId="0" applyNumberFormat="1" applyFont="1" applyBorder="1" applyAlignment="1">
      <alignment vertical="center"/>
    </xf>
    <xf numFmtId="176" fontId="3" fillId="0" borderId="0" xfId="0" applyNumberFormat="1" applyFont="1" applyBorder="1" applyAlignment="1">
      <alignment vertical="center"/>
    </xf>
    <xf numFmtId="189" fontId="3" fillId="0" borderId="0" xfId="0" applyNumberFormat="1" applyFont="1" applyBorder="1" applyAlignment="1">
      <alignment horizontal="right" vertical="center"/>
    </xf>
    <xf numFmtId="0" fontId="1" fillId="0" borderId="9" xfId="0" applyFont="1" applyBorder="1" applyAlignment="1">
      <alignment vertical="center"/>
    </xf>
    <xf numFmtId="203" fontId="1" fillId="0" borderId="9" xfId="0" applyNumberFormat="1" applyFont="1" applyBorder="1" applyAlignment="1">
      <alignment vertical="center"/>
    </xf>
    <xf numFmtId="203" fontId="1" fillId="0" borderId="9" xfId="0" applyNumberFormat="1" applyFont="1" applyBorder="1" applyAlignment="1">
      <alignment horizontal="right" vertical="center"/>
    </xf>
    <xf numFmtId="203" fontId="1" fillId="0" borderId="0" xfId="0" applyNumberFormat="1" applyFont="1" applyBorder="1" applyAlignment="1">
      <alignment horizontal="right" vertical="center"/>
    </xf>
    <xf numFmtId="0" fontId="1" fillId="0" borderId="0" xfId="0" applyFont="1" applyBorder="1" applyAlignment="1">
      <alignment horizontal="center" vertical="center"/>
    </xf>
    <xf numFmtId="203" fontId="3" fillId="0" borderId="0" xfId="0" applyNumberFormat="1" applyFont="1" applyBorder="1" applyAlignment="1">
      <alignment vertical="center"/>
    </xf>
    <xf numFmtId="203" fontId="3" fillId="0" borderId="0" xfId="0" applyNumberFormat="1" applyFont="1" applyBorder="1" applyAlignment="1">
      <alignment horizontal="right" vertical="center"/>
    </xf>
    <xf numFmtId="0" fontId="1" fillId="0" borderId="0" xfId="0" applyFont="1" applyAlignment="1">
      <alignment horizontal="left" vertical="center" indent="1"/>
    </xf>
    <xf numFmtId="0" fontId="3" fillId="0" borderId="0" xfId="0" applyFont="1" applyAlignment="1">
      <alignment horizontal="center" vertical="center" shrinkToFit="1"/>
    </xf>
    <xf numFmtId="0" fontId="1" fillId="0" borderId="0" xfId="0" applyFont="1" applyAlignment="1">
      <alignment vertical="top"/>
    </xf>
    <xf numFmtId="0" fontId="1" fillId="0" borderId="5" xfId="0" applyFont="1" applyBorder="1" applyAlignment="1">
      <alignment vertical="center"/>
    </xf>
    <xf numFmtId="0" fontId="1" fillId="0" borderId="11" xfId="0" applyFont="1" applyBorder="1" applyAlignment="1">
      <alignment horizontal="right" vertical="center"/>
    </xf>
    <xf numFmtId="176" fontId="1" fillId="0" borderId="5" xfId="0" applyNumberFormat="1" applyFont="1" applyBorder="1" applyAlignment="1">
      <alignment horizontal="right" vertical="center"/>
    </xf>
    <xf numFmtId="176" fontId="1" fillId="0" borderId="0" xfId="0" applyNumberFormat="1" applyFont="1" applyBorder="1" applyAlignment="1">
      <alignment horizontal="right" vertical="center"/>
    </xf>
    <xf numFmtId="201" fontId="1" fillId="0" borderId="0" xfId="0" applyNumberFormat="1" applyFont="1" applyBorder="1" applyAlignment="1">
      <alignment horizontal="right" vertical="center"/>
    </xf>
    <xf numFmtId="201" fontId="1" fillId="0" borderId="5" xfId="0" applyNumberFormat="1" applyFont="1" applyBorder="1" applyAlignment="1">
      <alignment horizontal="right" vertical="center"/>
    </xf>
    <xf numFmtId="189" fontId="1" fillId="0" borderId="0" xfId="0" applyNumberFormat="1" applyFont="1" applyBorder="1" applyAlignment="1">
      <alignment vertical="center"/>
    </xf>
    <xf numFmtId="0" fontId="1" fillId="0" borderId="5" xfId="0" applyFont="1" applyBorder="1" applyAlignment="1">
      <alignment horizontal="center" vertical="center" shrinkToFit="1"/>
    </xf>
    <xf numFmtId="0" fontId="1" fillId="0" borderId="3" xfId="0" applyFont="1" applyBorder="1" applyAlignment="1">
      <alignment horizontal="center" vertical="center" shrinkToFit="1"/>
    </xf>
    <xf numFmtId="0" fontId="0" fillId="0" borderId="0" xfId="0" applyAlignment="1"/>
    <xf numFmtId="0" fontId="0" fillId="0" borderId="0" xfId="0" applyAlignment="1">
      <alignment vertical="top"/>
    </xf>
    <xf numFmtId="0" fontId="1" fillId="0" borderId="0" xfId="0" applyFont="1" applyAlignment="1">
      <alignment horizontal="left" vertical="center"/>
    </xf>
    <xf numFmtId="0" fontId="0" fillId="0" borderId="0" xfId="0" applyAlignment="1">
      <alignment vertical="top" wrapText="1"/>
    </xf>
    <xf numFmtId="0" fontId="1" fillId="0" borderId="0" xfId="0" applyFont="1" applyBorder="1" applyAlignment="1">
      <alignment horizontal="justify"/>
    </xf>
    <xf numFmtId="0" fontId="1" fillId="0" borderId="12" xfId="0" applyFont="1" applyBorder="1" applyAlignment="1">
      <alignment horizontal="center" vertical="center"/>
    </xf>
    <xf numFmtId="179" fontId="1" fillId="0" borderId="13" xfId="0" applyNumberFormat="1" applyFont="1" applyBorder="1" applyAlignment="1">
      <alignment horizontal="center" vertical="center"/>
    </xf>
    <xf numFmtId="179" fontId="1" fillId="0" borderId="0" xfId="0" applyNumberFormat="1" applyFont="1" applyBorder="1" applyAlignment="1">
      <alignment horizontal="center" vertical="center"/>
    </xf>
    <xf numFmtId="0" fontId="1" fillId="0" borderId="0" xfId="0" applyFont="1" applyAlignment="1"/>
    <xf numFmtId="0" fontId="1" fillId="0" borderId="0" xfId="0" applyFont="1" applyAlignment="1">
      <alignment horizontal="center"/>
    </xf>
    <xf numFmtId="0" fontId="0" fillId="0" borderId="0" xfId="0" applyBorder="1" applyAlignment="1">
      <alignment vertical="center"/>
    </xf>
    <xf numFmtId="0" fontId="1" fillId="0" borderId="0" xfId="0" applyFont="1" applyAlignment="1">
      <alignment horizontal="center" vertical="top"/>
    </xf>
    <xf numFmtId="0" fontId="0" fillId="0" borderId="0" xfId="0" applyBorder="1" applyAlignment="1"/>
    <xf numFmtId="0" fontId="1" fillId="0" borderId="0" xfId="0" applyFont="1" applyAlignment="1">
      <alignment horizontal="right"/>
    </xf>
    <xf numFmtId="178" fontId="1" fillId="0" borderId="0" xfId="0" applyNumberFormat="1" applyFont="1" applyBorder="1" applyAlignment="1">
      <alignment horizontal="right" vertical="center"/>
    </xf>
    <xf numFmtId="179" fontId="3" fillId="0" borderId="0" xfId="0" applyNumberFormat="1" applyFont="1" applyBorder="1" applyAlignment="1">
      <alignment vertical="center"/>
    </xf>
    <xf numFmtId="0" fontId="11" fillId="0" borderId="0" xfId="0" applyFont="1" applyAlignment="1">
      <alignment vertical="top" wrapText="1"/>
    </xf>
    <xf numFmtId="0" fontId="0" fillId="0" borderId="14" xfId="0" applyBorder="1" applyAlignment="1">
      <alignment vertical="center"/>
    </xf>
    <xf numFmtId="204" fontId="0" fillId="0" borderId="0" xfId="0" applyNumberFormat="1" applyBorder="1" applyAlignment="1">
      <alignment horizontal="right" vertical="center" indent="3"/>
    </xf>
    <xf numFmtId="204" fontId="2" fillId="0" borderId="0" xfId="0" applyNumberFormat="1" applyFont="1" applyBorder="1" applyAlignment="1">
      <alignment horizontal="right" vertical="center" indent="3"/>
    </xf>
    <xf numFmtId="204" fontId="11" fillId="0" borderId="0" xfId="0" applyNumberFormat="1" applyFont="1" applyBorder="1" applyAlignment="1">
      <alignment horizontal="right" vertical="center" indent="3"/>
    </xf>
    <xf numFmtId="0" fontId="1" fillId="0" borderId="11" xfId="0" applyFont="1" applyBorder="1" applyAlignment="1">
      <alignment vertical="center"/>
    </xf>
    <xf numFmtId="0" fontId="1" fillId="0" borderId="13" xfId="0" applyFont="1" applyBorder="1" applyAlignment="1">
      <alignment vertical="center"/>
    </xf>
    <xf numFmtId="0" fontId="1" fillId="0" borderId="14" xfId="0" applyFont="1" applyBorder="1" applyAlignment="1">
      <alignment vertical="center"/>
    </xf>
    <xf numFmtId="0" fontId="1" fillId="0" borderId="9" xfId="0" applyFont="1" applyBorder="1" applyAlignment="1">
      <alignment horizontal="center" vertical="center"/>
    </xf>
    <xf numFmtId="176" fontId="0" fillId="0" borderId="0" xfId="0" applyNumberFormat="1" applyBorder="1" applyAlignment="1">
      <alignment vertical="center"/>
    </xf>
    <xf numFmtId="179" fontId="1" fillId="0" borderId="9" xfId="0" applyNumberFormat="1" applyFont="1" applyBorder="1" applyAlignment="1">
      <alignment vertical="center"/>
    </xf>
    <xf numFmtId="180" fontId="1" fillId="0" borderId="9" xfId="0" applyNumberFormat="1" applyFont="1" applyBorder="1" applyAlignment="1">
      <alignment horizontal="right" vertical="center"/>
    </xf>
    <xf numFmtId="0" fontId="8" fillId="0" borderId="0" xfId="4" applyFont="1" applyFill="1" applyAlignment="1">
      <alignment vertical="center"/>
    </xf>
    <xf numFmtId="186" fontId="3" fillId="0" borderId="0" xfId="4" applyNumberFormat="1" applyFont="1" applyFill="1" applyBorder="1" applyAlignment="1">
      <alignment vertical="center"/>
    </xf>
    <xf numFmtId="0" fontId="9" fillId="0" borderId="0" xfId="4" applyFont="1" applyFill="1" applyAlignment="1">
      <alignment vertical="center"/>
    </xf>
    <xf numFmtId="0" fontId="3" fillId="0" borderId="0" xfId="4" applyFont="1" applyFill="1" applyBorder="1" applyAlignment="1">
      <alignment horizontal="justify" vertical="center"/>
    </xf>
    <xf numFmtId="0" fontId="1" fillId="0" borderId="0" xfId="4" applyFont="1" applyFill="1" applyBorder="1" applyAlignment="1">
      <alignment horizontal="center" vertical="center"/>
    </xf>
    <xf numFmtId="0" fontId="1" fillId="0" borderId="5" xfId="4" applyFont="1" applyFill="1" applyBorder="1" applyAlignment="1">
      <alignment horizontal="center" vertical="center"/>
    </xf>
    <xf numFmtId="0" fontId="1" fillId="0" borderId="15" xfId="4" applyFont="1" applyFill="1" applyBorder="1" applyAlignment="1">
      <alignment horizontal="center" vertical="center"/>
    </xf>
    <xf numFmtId="0" fontId="1" fillId="0" borderId="3" xfId="4" applyFont="1" applyFill="1" applyBorder="1" applyAlignment="1">
      <alignment horizontal="center" vertical="center"/>
    </xf>
    <xf numFmtId="197" fontId="1" fillId="0" borderId="5" xfId="4" applyNumberFormat="1" applyFont="1" applyFill="1" applyBorder="1" applyAlignment="1">
      <alignment vertical="center"/>
    </xf>
    <xf numFmtId="197" fontId="1" fillId="0" borderId="8" xfId="4" applyNumberFormat="1" applyFont="1" applyFill="1" applyBorder="1" applyAlignment="1">
      <alignment vertical="center"/>
    </xf>
    <xf numFmtId="0" fontId="1" fillId="0" borderId="0" xfId="4" applyFont="1" applyFill="1" applyBorder="1" applyAlignment="1">
      <alignment horizontal="justify" vertical="center"/>
    </xf>
    <xf numFmtId="179" fontId="1" fillId="0" borderId="5" xfId="4" applyNumberFormat="1" applyFont="1" applyFill="1" applyBorder="1" applyAlignment="1">
      <alignment vertical="center"/>
    </xf>
    <xf numFmtId="194" fontId="1" fillId="0" borderId="0" xfId="4" applyNumberFormat="1" applyFont="1" applyFill="1" applyBorder="1" applyAlignment="1">
      <alignment vertical="center"/>
    </xf>
    <xf numFmtId="190" fontId="1" fillId="0" borderId="0" xfId="4" applyNumberFormat="1" applyFont="1" applyFill="1" applyBorder="1" applyAlignment="1">
      <alignment vertical="center"/>
    </xf>
    <xf numFmtId="0" fontId="1" fillId="0" borderId="0" xfId="0" applyFont="1" applyFill="1">
      <alignment vertical="center"/>
    </xf>
    <xf numFmtId="186" fontId="1" fillId="0" borderId="0" xfId="4" applyNumberFormat="1" applyFont="1" applyFill="1" applyBorder="1" applyAlignment="1">
      <alignment vertical="center"/>
    </xf>
    <xf numFmtId="0" fontId="1" fillId="0" borderId="10" xfId="0" applyFont="1" applyFill="1" applyBorder="1" applyAlignment="1">
      <alignment horizontal="center" vertical="center"/>
    </xf>
    <xf numFmtId="178" fontId="1" fillId="0" borderId="16" xfId="0" applyNumberFormat="1" applyFont="1" applyFill="1" applyBorder="1" applyAlignment="1">
      <alignment horizontal="center" vertical="center"/>
    </xf>
    <xf numFmtId="0" fontId="1" fillId="0" borderId="17" xfId="0" applyFont="1" applyFill="1" applyBorder="1" applyAlignment="1">
      <alignment horizontal="center" vertical="center" shrinkToFit="1"/>
    </xf>
    <xf numFmtId="0" fontId="1" fillId="0" borderId="18" xfId="0" applyFont="1" applyFill="1" applyBorder="1" applyAlignment="1">
      <alignment horizontal="center" vertical="center" shrinkToFit="1"/>
    </xf>
    <xf numFmtId="0" fontId="8" fillId="0" borderId="19" xfId="4" applyFont="1" applyFill="1" applyBorder="1" applyAlignment="1">
      <alignment vertical="center"/>
    </xf>
    <xf numFmtId="194" fontId="1" fillId="0" borderId="20" xfId="4" applyNumberFormat="1" applyFont="1" applyFill="1" applyBorder="1" applyAlignment="1">
      <alignment vertical="center"/>
    </xf>
    <xf numFmtId="0" fontId="3" fillId="0" borderId="20" xfId="4" applyNumberFormat="1" applyFont="1" applyFill="1" applyBorder="1" applyAlignment="1">
      <alignment horizontal="justify" vertical="center"/>
    </xf>
    <xf numFmtId="179" fontId="3" fillId="0" borderId="21" xfId="4" applyNumberFormat="1" applyFont="1" applyFill="1" applyBorder="1" applyAlignment="1">
      <alignment vertical="center"/>
    </xf>
    <xf numFmtId="176" fontId="1" fillId="0" borderId="0" xfId="5" applyNumberFormat="1" applyFont="1" applyFill="1" applyBorder="1" applyAlignment="1">
      <alignment vertical="center"/>
    </xf>
    <xf numFmtId="176" fontId="1" fillId="0" borderId="22" xfId="2" applyNumberFormat="1" applyFont="1" applyFill="1" applyBorder="1" applyAlignment="1">
      <alignment vertical="center"/>
    </xf>
    <xf numFmtId="176" fontId="1" fillId="0" borderId="0" xfId="2" applyNumberFormat="1" applyFont="1" applyFill="1" applyBorder="1" applyAlignment="1">
      <alignment vertical="center"/>
    </xf>
    <xf numFmtId="177" fontId="1" fillId="0" borderId="0" xfId="5" applyNumberFormat="1" applyFont="1" applyFill="1" applyBorder="1" applyAlignment="1">
      <alignment vertical="center"/>
    </xf>
    <xf numFmtId="179" fontId="1" fillId="0" borderId="22" xfId="5" applyNumberFormat="1" applyFont="1" applyFill="1" applyBorder="1" applyAlignment="1">
      <alignment vertical="center"/>
    </xf>
    <xf numFmtId="179" fontId="1" fillId="0" borderId="0" xfId="5" applyNumberFormat="1" applyFont="1" applyFill="1" applyBorder="1" applyAlignment="1">
      <alignment vertical="center"/>
    </xf>
    <xf numFmtId="181" fontId="1" fillId="0" borderId="0" xfId="2" applyNumberFormat="1" applyFont="1" applyFill="1" applyBorder="1" applyAlignment="1">
      <alignment vertical="center"/>
    </xf>
    <xf numFmtId="0" fontId="1" fillId="0" borderId="23" xfId="0" applyFont="1" applyBorder="1" applyAlignment="1">
      <alignment vertical="center"/>
    </xf>
    <xf numFmtId="204" fontId="0" fillId="0" borderId="20" xfId="0" applyNumberFormat="1" applyBorder="1" applyAlignment="1">
      <alignment horizontal="right" vertical="center" indent="3"/>
    </xf>
    <xf numFmtId="0" fontId="1" fillId="0" borderId="19" xfId="0" applyFont="1" applyBorder="1" applyAlignment="1">
      <alignment horizontal="center" vertical="center"/>
    </xf>
    <xf numFmtId="0" fontId="1" fillId="0" borderId="27" xfId="0" applyFont="1" applyBorder="1" applyAlignment="1">
      <alignment horizontal="center" vertical="center"/>
    </xf>
    <xf numFmtId="176" fontId="1" fillId="0" borderId="20" xfId="0" applyNumberFormat="1" applyFont="1" applyBorder="1" applyAlignment="1">
      <alignment vertical="center"/>
    </xf>
    <xf numFmtId="177" fontId="1" fillId="0" borderId="0" xfId="0" applyNumberFormat="1" applyFont="1" applyBorder="1" applyAlignment="1">
      <alignment vertical="center"/>
    </xf>
    <xf numFmtId="177" fontId="3" fillId="0" borderId="0" xfId="0" applyNumberFormat="1" applyFont="1" applyBorder="1" applyAlignment="1">
      <alignment vertical="center"/>
    </xf>
    <xf numFmtId="0" fontId="1" fillId="0" borderId="29" xfId="0" applyFont="1" applyBorder="1" applyAlignment="1">
      <alignment vertical="center"/>
    </xf>
    <xf numFmtId="0" fontId="1" fillId="0" borderId="30" xfId="0" applyFont="1" applyBorder="1" applyAlignment="1">
      <alignment vertical="center"/>
    </xf>
    <xf numFmtId="0" fontId="0" fillId="0" borderId="27" xfId="0" applyBorder="1" applyAlignment="1">
      <alignment vertical="center"/>
    </xf>
    <xf numFmtId="0" fontId="0" fillId="0" borderId="31" xfId="0" applyBorder="1" applyAlignment="1">
      <alignment vertical="center"/>
    </xf>
    <xf numFmtId="0" fontId="1" fillId="0" borderId="32" xfId="0" applyFont="1" applyBorder="1" applyAlignment="1">
      <alignment vertical="center"/>
    </xf>
    <xf numFmtId="0" fontId="1" fillId="0" borderId="19" xfId="0" applyFont="1" applyBorder="1" applyAlignment="1">
      <alignment vertical="center"/>
    </xf>
    <xf numFmtId="0" fontId="1" fillId="0" borderId="28" xfId="0" applyFont="1" applyBorder="1" applyAlignment="1">
      <alignment horizontal="center" vertical="center"/>
    </xf>
    <xf numFmtId="0" fontId="1" fillId="0" borderId="26" xfId="0" applyFont="1" applyBorder="1" applyAlignment="1">
      <alignment vertical="center"/>
    </xf>
    <xf numFmtId="0" fontId="1" fillId="0" borderId="33" xfId="0" applyFont="1" applyBorder="1" applyAlignment="1">
      <alignment vertical="center"/>
    </xf>
    <xf numFmtId="0" fontId="1" fillId="0" borderId="34" xfId="0" applyFont="1" applyBorder="1" applyAlignment="1">
      <alignment vertical="center"/>
    </xf>
    <xf numFmtId="176" fontId="1" fillId="0" borderId="35" xfId="0" applyNumberFormat="1" applyFont="1" applyBorder="1" applyAlignment="1">
      <alignment vertical="center"/>
    </xf>
    <xf numFmtId="0" fontId="1" fillId="0" borderId="36" xfId="0" applyFont="1" applyBorder="1" applyAlignment="1">
      <alignment horizontal="justify" vertical="center" indent="1"/>
    </xf>
    <xf numFmtId="0" fontId="1" fillId="0" borderId="37" xfId="0" applyFont="1" applyBorder="1" applyAlignment="1">
      <alignment horizontal="justify" vertical="center" indent="1"/>
    </xf>
    <xf numFmtId="176" fontId="1" fillId="0" borderId="21" xfId="0" applyNumberFormat="1" applyFont="1" applyBorder="1" applyAlignment="1">
      <alignment vertical="center"/>
    </xf>
    <xf numFmtId="0" fontId="1" fillId="0" borderId="20" xfId="0" applyFont="1" applyBorder="1" applyAlignment="1">
      <alignment vertical="center"/>
    </xf>
    <xf numFmtId="0" fontId="1" fillId="0" borderId="38" xfId="0" applyFont="1" applyBorder="1" applyAlignment="1">
      <alignment vertical="center"/>
    </xf>
    <xf numFmtId="0" fontId="1" fillId="0" borderId="18" xfId="0" applyFont="1" applyBorder="1" applyAlignment="1">
      <alignment horizontal="center" vertical="center"/>
    </xf>
    <xf numFmtId="0" fontId="1" fillId="0" borderId="40" xfId="0" applyFont="1" applyBorder="1" applyAlignment="1">
      <alignment horizontal="center" vertical="center"/>
    </xf>
    <xf numFmtId="0" fontId="7" fillId="0" borderId="19" xfId="0" applyFont="1" applyBorder="1">
      <alignment vertical="center"/>
    </xf>
    <xf numFmtId="176" fontId="3" fillId="0" borderId="35" xfId="0" applyNumberFormat="1" applyFont="1" applyBorder="1" applyAlignment="1">
      <alignment vertical="center"/>
    </xf>
    <xf numFmtId="0" fontId="7" fillId="0" borderId="36" xfId="0" applyFont="1" applyBorder="1">
      <alignment vertical="center"/>
    </xf>
    <xf numFmtId="0" fontId="1" fillId="0" borderId="41" xfId="0" applyFont="1" applyBorder="1" applyAlignment="1">
      <alignment vertical="center"/>
    </xf>
    <xf numFmtId="190" fontId="1" fillId="0" borderId="33" xfId="0" applyNumberFormat="1" applyFont="1" applyBorder="1" applyAlignment="1">
      <alignment vertical="center" shrinkToFit="1"/>
    </xf>
    <xf numFmtId="190" fontId="1" fillId="0" borderId="19" xfId="0" applyNumberFormat="1" applyFont="1" applyBorder="1" applyAlignment="1">
      <alignment vertical="center"/>
    </xf>
    <xf numFmtId="190" fontId="3" fillId="0" borderId="19" xfId="0" applyNumberFormat="1" applyFont="1" applyBorder="1" applyAlignment="1">
      <alignment vertical="center"/>
    </xf>
    <xf numFmtId="190" fontId="1" fillId="0" borderId="36" xfId="0" applyNumberFormat="1" applyFont="1" applyBorder="1" applyAlignment="1">
      <alignment vertical="center"/>
    </xf>
    <xf numFmtId="189" fontId="1" fillId="0" borderId="20" xfId="0" applyNumberFormat="1" applyFont="1" applyBorder="1" applyAlignment="1">
      <alignment horizontal="right" vertical="center"/>
    </xf>
    <xf numFmtId="203" fontId="1" fillId="0" borderId="20" xfId="0" applyNumberFormat="1" applyFont="1" applyBorder="1" applyAlignment="1">
      <alignment vertical="center"/>
    </xf>
    <xf numFmtId="203" fontId="1" fillId="0" borderId="20" xfId="0" applyNumberFormat="1" applyFont="1" applyBorder="1" applyAlignment="1">
      <alignment horizontal="right" vertical="center"/>
    </xf>
    <xf numFmtId="0" fontId="1" fillId="0" borderId="33" xfId="0" applyFont="1" applyBorder="1" applyAlignment="1">
      <alignment horizontal="center" vertical="center"/>
    </xf>
    <xf numFmtId="207" fontId="1" fillId="0" borderId="0" xfId="0" applyNumberFormat="1" applyFont="1" applyBorder="1" applyAlignment="1">
      <alignment horizontal="right" vertical="center"/>
    </xf>
    <xf numFmtId="207" fontId="3" fillId="0" borderId="0" xfId="0" applyNumberFormat="1" applyFont="1" applyBorder="1" applyAlignment="1">
      <alignment horizontal="right" vertical="center"/>
    </xf>
    <xf numFmtId="207" fontId="1" fillId="0" borderId="20" xfId="0" applyNumberFormat="1" applyFont="1" applyBorder="1" applyAlignment="1">
      <alignment horizontal="right" vertical="center"/>
    </xf>
    <xf numFmtId="203" fontId="1" fillId="0" borderId="43" xfId="0" applyNumberFormat="1" applyFont="1" applyBorder="1" applyAlignment="1">
      <alignment horizontal="distributed" vertical="center"/>
    </xf>
    <xf numFmtId="0" fontId="1" fillId="0" borderId="13" xfId="0" applyFont="1" applyBorder="1" applyAlignment="1">
      <alignment horizontal="right" vertical="center"/>
    </xf>
    <xf numFmtId="0" fontId="1" fillId="0" borderId="16" xfId="0" applyFont="1" applyBorder="1" applyAlignment="1">
      <alignment horizontal="center" vertical="center"/>
    </xf>
    <xf numFmtId="0" fontId="1" fillId="0" borderId="28" xfId="0" applyFont="1" applyBorder="1" applyAlignment="1">
      <alignment vertical="center"/>
    </xf>
    <xf numFmtId="0" fontId="1" fillId="0" borderId="34" xfId="0" applyFont="1" applyBorder="1" applyAlignment="1">
      <alignment horizontal="right" vertical="center"/>
    </xf>
    <xf numFmtId="187" fontId="1" fillId="0" borderId="35" xfId="0" applyNumberFormat="1" applyFont="1" applyBorder="1" applyAlignment="1">
      <alignment horizontal="right" vertical="center"/>
    </xf>
    <xf numFmtId="0" fontId="1" fillId="0" borderId="19" xfId="0" applyNumberFormat="1" applyFont="1" applyBorder="1" applyAlignment="1">
      <alignment horizontal="center" vertical="center"/>
    </xf>
    <xf numFmtId="49" fontId="1" fillId="0" borderId="19" xfId="0" applyNumberFormat="1" applyFont="1" applyBorder="1" applyAlignment="1">
      <alignment horizontal="center" vertical="center"/>
    </xf>
    <xf numFmtId="0" fontId="3" fillId="0" borderId="19" xfId="0" applyFont="1" applyBorder="1" applyAlignment="1">
      <alignment horizontal="center" vertical="center" shrinkToFit="1"/>
    </xf>
    <xf numFmtId="0" fontId="1" fillId="0" borderId="19" xfId="0" applyFont="1" applyBorder="1" applyAlignment="1">
      <alignment horizontal="center" vertical="center" shrinkToFit="1"/>
    </xf>
    <xf numFmtId="0" fontId="1" fillId="0" borderId="36" xfId="0" applyFont="1" applyBorder="1" applyAlignment="1">
      <alignment horizontal="center" vertical="center" shrinkToFit="1"/>
    </xf>
    <xf numFmtId="0" fontId="6" fillId="0" borderId="44" xfId="0" applyFont="1" applyBorder="1" applyAlignment="1">
      <alignment horizontal="center" vertical="center" shrinkToFit="1"/>
    </xf>
    <xf numFmtId="0" fontId="1" fillId="0" borderId="45" xfId="0" applyFont="1" applyBorder="1" applyAlignment="1">
      <alignment horizontal="center" vertical="center"/>
    </xf>
    <xf numFmtId="179" fontId="1" fillId="0" borderId="19" xfId="0" applyNumberFormat="1" applyFont="1" applyBorder="1" applyAlignment="1">
      <alignment horizontal="center" vertical="center"/>
    </xf>
    <xf numFmtId="0" fontId="1" fillId="0" borderId="46" xfId="0" applyFont="1" applyBorder="1" applyAlignment="1">
      <alignment vertical="center"/>
    </xf>
    <xf numFmtId="0" fontId="1" fillId="0" borderId="47" xfId="0" applyFont="1" applyBorder="1" applyAlignment="1">
      <alignment vertical="center"/>
    </xf>
    <xf numFmtId="0" fontId="1" fillId="0" borderId="48" xfId="0" applyFont="1" applyBorder="1" applyAlignment="1">
      <alignment vertical="center"/>
    </xf>
    <xf numFmtId="0" fontId="1" fillId="0" borderId="36" xfId="0" applyFont="1" applyBorder="1" applyAlignment="1">
      <alignment horizontal="center" vertical="center"/>
    </xf>
    <xf numFmtId="176" fontId="1" fillId="0" borderId="42" xfId="0" applyNumberFormat="1" applyFont="1" applyBorder="1" applyAlignment="1">
      <alignment horizontal="right" vertical="center"/>
    </xf>
    <xf numFmtId="176" fontId="1" fillId="0" borderId="2" xfId="0" applyNumberFormat="1" applyFont="1" applyBorder="1" applyAlignment="1">
      <alignment vertical="center"/>
    </xf>
    <xf numFmtId="0" fontId="8" fillId="0" borderId="19" xfId="0" applyFont="1" applyFill="1" applyBorder="1" applyAlignment="1">
      <alignment vertical="center"/>
    </xf>
    <xf numFmtId="0" fontId="8" fillId="0" borderId="36" xfId="0" applyFont="1" applyFill="1" applyBorder="1" applyAlignment="1">
      <alignment vertical="center"/>
    </xf>
    <xf numFmtId="0" fontId="1" fillId="0" borderId="49" xfId="0" applyFont="1" applyFill="1" applyBorder="1" applyAlignment="1">
      <alignment vertical="center"/>
    </xf>
    <xf numFmtId="0" fontId="1" fillId="0" borderId="32" xfId="0" applyFont="1" applyFill="1" applyBorder="1" applyAlignment="1">
      <alignment vertical="center"/>
    </xf>
    <xf numFmtId="0" fontId="1" fillId="0" borderId="23" xfId="0" applyFont="1" applyFill="1" applyBorder="1" applyAlignment="1">
      <alignment vertical="center"/>
    </xf>
    <xf numFmtId="186" fontId="1" fillId="0" borderId="35" xfId="4" applyNumberFormat="1" applyFont="1" applyFill="1" applyBorder="1" applyAlignment="1">
      <alignment vertical="center"/>
    </xf>
    <xf numFmtId="0" fontId="8" fillId="0" borderId="0" xfId="0" applyFont="1" applyFill="1" applyBorder="1" applyAlignment="1">
      <alignment horizontal="distributed" vertical="center"/>
    </xf>
    <xf numFmtId="0" fontId="1" fillId="0" borderId="50" xfId="0" applyFont="1" applyFill="1" applyBorder="1" applyAlignment="1">
      <alignment horizontal="center"/>
    </xf>
    <xf numFmtId="0" fontId="1" fillId="0" borderId="51" xfId="0" applyFont="1" applyFill="1" applyBorder="1" applyAlignment="1">
      <alignment horizontal="center" vertical="center"/>
    </xf>
    <xf numFmtId="0" fontId="1" fillId="0" borderId="52" xfId="0" applyFont="1" applyFill="1" applyBorder="1" applyAlignment="1">
      <alignment horizontal="center"/>
    </xf>
    <xf numFmtId="0" fontId="1" fillId="0" borderId="53" xfId="0" applyFont="1" applyFill="1" applyBorder="1" applyAlignment="1">
      <alignment horizontal="center" vertical="center"/>
    </xf>
    <xf numFmtId="0" fontId="1" fillId="0" borderId="35" xfId="0" applyFont="1" applyFill="1" applyBorder="1" applyAlignment="1">
      <alignment vertical="center"/>
    </xf>
    <xf numFmtId="0" fontId="1" fillId="0" borderId="36" xfId="0" applyFont="1" applyFill="1" applyBorder="1" applyAlignment="1">
      <alignment horizontal="center" vertical="center"/>
    </xf>
    <xf numFmtId="0" fontId="1" fillId="0" borderId="50" xfId="0" applyFont="1" applyFill="1" applyBorder="1" applyAlignment="1">
      <alignment horizontal="distributed" vertical="center"/>
    </xf>
    <xf numFmtId="0" fontId="6" fillId="0" borderId="50" xfId="0" applyFont="1" applyFill="1" applyBorder="1" applyAlignment="1">
      <alignment horizontal="distributed" vertical="center"/>
    </xf>
    <xf numFmtId="0" fontId="1" fillId="0" borderId="55" xfId="0" applyFont="1" applyFill="1" applyBorder="1" applyAlignment="1">
      <alignment horizontal="distributed" vertical="center"/>
    </xf>
    <xf numFmtId="0" fontId="6" fillId="0" borderId="50" xfId="0" applyFont="1" applyFill="1" applyBorder="1" applyAlignment="1">
      <alignment horizontal="distributed" vertical="center" shrinkToFit="1"/>
    </xf>
    <xf numFmtId="0" fontId="1" fillId="0" borderId="56" xfId="0" applyFont="1" applyFill="1" applyBorder="1" applyAlignment="1">
      <alignment horizontal="distributed" vertical="center"/>
    </xf>
    <xf numFmtId="209" fontId="1" fillId="0" borderId="21" xfId="0" applyNumberFormat="1" applyFont="1" applyFill="1" applyBorder="1" applyAlignment="1">
      <alignment horizontal="right" vertical="center"/>
    </xf>
    <xf numFmtId="0" fontId="1" fillId="0" borderId="19" xfId="0" applyFont="1" applyFill="1" applyBorder="1" applyAlignment="1">
      <alignment horizontal="center" vertical="center"/>
    </xf>
    <xf numFmtId="0" fontId="1" fillId="0" borderId="19" xfId="0" applyFont="1" applyFill="1" applyBorder="1" applyAlignment="1">
      <alignment vertical="center"/>
    </xf>
    <xf numFmtId="49" fontId="1" fillId="0" borderId="19" xfId="0" applyNumberFormat="1" applyFont="1" applyFill="1" applyBorder="1" applyAlignment="1">
      <alignment horizontal="center" vertical="center"/>
    </xf>
    <xf numFmtId="49" fontId="1" fillId="0" borderId="19" xfId="0" applyNumberFormat="1" applyFont="1" applyFill="1" applyBorder="1" applyAlignment="1">
      <alignment vertical="center"/>
    </xf>
    <xf numFmtId="0" fontId="1" fillId="0" borderId="36" xfId="0" applyFont="1" applyFill="1" applyBorder="1" applyAlignment="1">
      <alignment vertical="center"/>
    </xf>
    <xf numFmtId="0" fontId="1" fillId="0" borderId="21" xfId="0" applyFont="1" applyFill="1" applyBorder="1" applyAlignment="1">
      <alignment vertical="center"/>
    </xf>
    <xf numFmtId="0" fontId="8" fillId="0" borderId="57" xfId="0" applyFont="1" applyFill="1" applyBorder="1" applyAlignment="1">
      <alignment horizontal="center" vertical="center"/>
    </xf>
    <xf numFmtId="0" fontId="1" fillId="0" borderId="57" xfId="0" applyFont="1" applyFill="1" applyBorder="1" applyAlignment="1">
      <alignment horizontal="center" vertical="center"/>
    </xf>
    <xf numFmtId="0" fontId="1" fillId="0" borderId="57" xfId="4" applyFont="1" applyFill="1" applyBorder="1" applyAlignment="1">
      <alignment horizontal="center" vertical="center"/>
    </xf>
    <xf numFmtId="0" fontId="11" fillId="0" borderId="57" xfId="0" applyFont="1" applyFill="1" applyBorder="1">
      <alignment vertical="center"/>
    </xf>
    <xf numFmtId="0" fontId="1" fillId="0" borderId="5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35" xfId="0" applyFont="1" applyFill="1" applyBorder="1" applyAlignment="1">
      <alignment horizontal="center" vertical="center"/>
    </xf>
    <xf numFmtId="178" fontId="1" fillId="0" borderId="0" xfId="4" applyNumberFormat="1" applyFont="1" applyFill="1" applyBorder="1" applyAlignment="1">
      <alignment vertical="center"/>
    </xf>
    <xf numFmtId="178" fontId="1" fillId="0" borderId="20" xfId="4" applyNumberFormat="1" applyFont="1" applyFill="1" applyBorder="1" applyAlignment="1">
      <alignment vertical="center"/>
    </xf>
    <xf numFmtId="179" fontId="1" fillId="0" borderId="0" xfId="4" applyNumberFormat="1" applyFont="1" applyFill="1" applyBorder="1" applyAlignment="1">
      <alignment vertical="center"/>
    </xf>
    <xf numFmtId="186" fontId="1" fillId="0" borderId="13" xfId="4" applyNumberFormat="1" applyFont="1" applyFill="1" applyBorder="1" applyAlignment="1">
      <alignment vertical="center"/>
    </xf>
    <xf numFmtId="186" fontId="1" fillId="0" borderId="37" xfId="4" applyNumberFormat="1" applyFont="1" applyFill="1" applyBorder="1" applyAlignment="1">
      <alignment vertical="center"/>
    </xf>
    <xf numFmtId="178" fontId="3" fillId="0" borderId="20" xfId="4" applyNumberFormat="1" applyFont="1" applyFill="1" applyBorder="1" applyAlignment="1">
      <alignment vertical="center"/>
    </xf>
    <xf numFmtId="179" fontId="3" fillId="0" borderId="20" xfId="4" applyNumberFormat="1" applyFont="1" applyFill="1" applyBorder="1" applyAlignment="1">
      <alignment vertical="center"/>
    </xf>
    <xf numFmtId="178" fontId="1" fillId="0" borderId="9" xfId="4" applyNumberFormat="1" applyFont="1" applyFill="1" applyBorder="1" applyAlignment="1">
      <alignment vertical="center"/>
    </xf>
    <xf numFmtId="195" fontId="1" fillId="0" borderId="35" xfId="4" applyNumberFormat="1" applyFont="1" applyFill="1" applyBorder="1" applyAlignment="1">
      <alignment vertical="center"/>
    </xf>
    <xf numFmtId="195" fontId="3" fillId="0" borderId="42" xfId="4" applyNumberFormat="1" applyFont="1" applyFill="1" applyBorder="1" applyAlignment="1">
      <alignment vertical="center"/>
    </xf>
    <xf numFmtId="0" fontId="1" fillId="0" borderId="0" xfId="4" applyFont="1" applyFill="1" applyBorder="1" applyAlignment="1">
      <alignment horizontal="distributed" vertical="center"/>
    </xf>
    <xf numFmtId="0" fontId="1" fillId="0" borderId="20" xfId="4" applyFont="1" applyFill="1" applyBorder="1" applyAlignment="1">
      <alignment horizontal="distributed" vertical="center"/>
    </xf>
    <xf numFmtId="194" fontId="1" fillId="0" borderId="0" xfId="4" applyNumberFormat="1" applyFont="1" applyFill="1" applyBorder="1" applyAlignment="1">
      <alignment horizontal="distributed" vertical="center"/>
    </xf>
    <xf numFmtId="0" fontId="1" fillId="0" borderId="40" xfId="0" applyFont="1" applyFill="1" applyBorder="1" applyAlignment="1">
      <alignment horizontal="center" vertical="center"/>
    </xf>
    <xf numFmtId="197" fontId="1" fillId="0" borderId="44" xfId="4" applyNumberFormat="1" applyFont="1" applyFill="1" applyBorder="1" applyAlignment="1">
      <alignment vertical="center"/>
    </xf>
    <xf numFmtId="197" fontId="1" fillId="0" borderId="28" xfId="4" applyNumberFormat="1" applyFont="1" applyFill="1" applyBorder="1" applyAlignment="1">
      <alignment vertical="center"/>
    </xf>
    <xf numFmtId="197" fontId="1" fillId="0" borderId="23" xfId="4" applyNumberFormat="1" applyFont="1" applyFill="1" applyBorder="1" applyAlignment="1">
      <alignment vertical="center"/>
    </xf>
    <xf numFmtId="179" fontId="1" fillId="0" borderId="13" xfId="0" applyNumberFormat="1" applyFont="1" applyBorder="1" applyAlignment="1">
      <alignment horizontal="right" vertical="center"/>
    </xf>
    <xf numFmtId="179" fontId="1" fillId="0" borderId="35" xfId="0" applyNumberFormat="1" applyFont="1" applyBorder="1" applyAlignment="1">
      <alignment horizontal="right" vertical="center"/>
    </xf>
    <xf numFmtId="179" fontId="1" fillId="0" borderId="0" xfId="0" applyNumberFormat="1" applyFont="1" applyBorder="1" applyAlignment="1">
      <alignment horizontal="right" vertical="center"/>
    </xf>
    <xf numFmtId="179" fontId="3" fillId="0" borderId="37" xfId="0" applyNumberFormat="1" applyFont="1" applyBorder="1" applyAlignment="1">
      <alignment horizontal="right" vertical="center"/>
    </xf>
    <xf numFmtId="179" fontId="3" fillId="0" borderId="42" xfId="0" applyNumberFormat="1" applyFont="1" applyBorder="1" applyAlignment="1">
      <alignment horizontal="right" vertical="center"/>
    </xf>
    <xf numFmtId="0" fontId="1" fillId="0" borderId="27" xfId="0" applyFont="1" applyBorder="1" applyAlignment="1">
      <alignment horizontal="center" vertical="center" shrinkToFit="1"/>
    </xf>
    <xf numFmtId="0" fontId="1" fillId="0" borderId="23" xfId="0" applyFont="1" applyBorder="1" applyAlignment="1">
      <alignment horizontal="center" vertical="center" shrinkToFit="1"/>
    </xf>
    <xf numFmtId="0" fontId="1" fillId="0" borderId="19" xfId="0" applyFont="1" applyBorder="1" applyAlignment="1">
      <alignment horizontal="justify" vertical="center"/>
    </xf>
    <xf numFmtId="0" fontId="21" fillId="0" borderId="0" xfId="0" applyFont="1" applyAlignment="1">
      <alignment vertical="center"/>
    </xf>
    <xf numFmtId="0" fontId="7" fillId="0" borderId="31" xfId="0" applyFont="1" applyBorder="1" applyAlignment="1">
      <alignment vertical="center"/>
    </xf>
    <xf numFmtId="187" fontId="1" fillId="0" borderId="0" xfId="1" applyNumberFormat="1" applyFont="1" applyFill="1" applyBorder="1" applyAlignment="1" applyProtection="1">
      <alignment horizontal="right" vertical="center"/>
    </xf>
    <xf numFmtId="205" fontId="1" fillId="0" borderId="35" xfId="0" applyNumberFormat="1" applyFont="1" applyBorder="1" applyAlignment="1">
      <alignment horizontal="right" vertical="center"/>
    </xf>
    <xf numFmtId="190" fontId="1" fillId="0" borderId="9" xfId="0" applyNumberFormat="1" applyFont="1" applyFill="1" applyBorder="1" applyAlignment="1">
      <alignment vertical="center"/>
    </xf>
    <xf numFmtId="189" fontId="1" fillId="0" borderId="9" xfId="0" applyNumberFormat="1" applyFont="1" applyFill="1" applyBorder="1" applyAlignment="1">
      <alignment vertical="center"/>
    </xf>
    <xf numFmtId="190" fontId="1" fillId="0" borderId="0" xfId="0" applyNumberFormat="1" applyFont="1" applyFill="1" applyBorder="1" applyAlignment="1">
      <alignment vertical="center"/>
    </xf>
    <xf numFmtId="189" fontId="1" fillId="0" borderId="0" xfId="0" applyNumberFormat="1" applyFont="1" applyFill="1" applyBorder="1" applyAlignment="1">
      <alignment vertical="center"/>
    </xf>
    <xf numFmtId="203" fontId="1" fillId="0" borderId="0" xfId="0" applyNumberFormat="1" applyFont="1" applyFill="1" applyBorder="1" applyAlignment="1">
      <alignment vertical="center"/>
    </xf>
    <xf numFmtId="202" fontId="1" fillId="0" borderId="0" xfId="0" applyNumberFormat="1" applyFont="1" applyFill="1" applyBorder="1" applyAlignment="1">
      <alignment vertical="center"/>
    </xf>
    <xf numFmtId="190" fontId="3" fillId="0" borderId="0" xfId="0" applyNumberFormat="1" applyFont="1" applyFill="1" applyBorder="1" applyAlignment="1">
      <alignment vertical="center"/>
    </xf>
    <xf numFmtId="186" fontId="1" fillId="0" borderId="20" xfId="0" applyNumberFormat="1" applyFont="1" applyFill="1" applyBorder="1" applyAlignment="1">
      <alignment vertical="center"/>
    </xf>
    <xf numFmtId="201" fontId="1" fillId="0" borderId="9" xfId="0" applyNumberFormat="1" applyFont="1" applyFill="1" applyBorder="1" applyAlignment="1">
      <alignment horizontal="right" vertical="center"/>
    </xf>
    <xf numFmtId="202" fontId="1" fillId="0" borderId="0" xfId="0" applyNumberFormat="1" applyFont="1" applyFill="1" applyBorder="1" applyAlignment="1">
      <alignment horizontal="right" vertical="center"/>
    </xf>
    <xf numFmtId="202" fontId="3" fillId="0" borderId="0" xfId="0" applyNumberFormat="1" applyFont="1" applyFill="1" applyBorder="1" applyAlignment="1">
      <alignment horizontal="right" vertical="center"/>
    </xf>
    <xf numFmtId="202" fontId="1" fillId="0" borderId="20" xfId="0" applyNumberFormat="1" applyFont="1" applyFill="1" applyBorder="1" applyAlignment="1">
      <alignment horizontal="right" vertical="center"/>
    </xf>
    <xf numFmtId="197" fontId="1" fillId="0" borderId="34" xfId="0" applyNumberFormat="1" applyFont="1" applyFill="1" applyBorder="1" applyAlignment="1">
      <alignment vertical="center"/>
    </xf>
    <xf numFmtId="197" fontId="1" fillId="0" borderId="35" xfId="0" applyNumberFormat="1" applyFont="1" applyFill="1" applyBorder="1" applyAlignment="1">
      <alignment vertical="center"/>
    </xf>
    <xf numFmtId="197" fontId="3" fillId="0" borderId="35" xfId="0" applyNumberFormat="1" applyFont="1" applyFill="1" applyBorder="1" applyAlignment="1">
      <alignment vertical="center"/>
    </xf>
    <xf numFmtId="197" fontId="1" fillId="0" borderId="42" xfId="0" applyNumberFormat="1" applyFont="1" applyFill="1" applyBorder="1" applyAlignment="1">
      <alignment vertical="center"/>
    </xf>
    <xf numFmtId="190" fontId="1" fillId="0" borderId="19" xfId="0" applyNumberFormat="1" applyFont="1" applyBorder="1" applyAlignment="1">
      <alignment horizontal="right" vertical="center"/>
    </xf>
    <xf numFmtId="190" fontId="1" fillId="0" borderId="0" xfId="0" applyNumberFormat="1" applyFont="1" applyBorder="1" applyAlignment="1">
      <alignment horizontal="right" vertical="center"/>
    </xf>
    <xf numFmtId="205" fontId="1" fillId="0" borderId="0" xfId="0" applyNumberFormat="1" applyFont="1" applyBorder="1" applyAlignment="1">
      <alignment horizontal="right" vertical="center"/>
    </xf>
    <xf numFmtId="203" fontId="1" fillId="0" borderId="0" xfId="0" applyNumberFormat="1" applyFont="1" applyFill="1" applyBorder="1" applyAlignment="1">
      <alignment horizontal="right" vertical="center"/>
    </xf>
    <xf numFmtId="203" fontId="3" fillId="0" borderId="0" xfId="0" applyNumberFormat="1" applyFont="1" applyFill="1" applyBorder="1" applyAlignment="1">
      <alignment horizontal="right" vertical="center"/>
    </xf>
    <xf numFmtId="203" fontId="1" fillId="0" borderId="20" xfId="0" applyNumberFormat="1" applyFont="1" applyFill="1" applyBorder="1" applyAlignment="1">
      <alignment horizontal="right" vertical="center"/>
    </xf>
    <xf numFmtId="200" fontId="1" fillId="0" borderId="0" xfId="0" applyNumberFormat="1" applyFont="1" applyAlignment="1">
      <alignment vertical="center"/>
    </xf>
    <xf numFmtId="10" fontId="1" fillId="0" borderId="0" xfId="0" applyNumberFormat="1" applyFont="1" applyAlignment="1">
      <alignment vertical="center"/>
    </xf>
    <xf numFmtId="41" fontId="1" fillId="0" borderId="0" xfId="0" applyNumberFormat="1" applyFont="1" applyFill="1" applyBorder="1" applyAlignment="1">
      <alignment horizontal="right" vertical="center" shrinkToFit="1"/>
    </xf>
    <xf numFmtId="179" fontId="0" fillId="0" borderId="0" xfId="0" applyNumberFormat="1" applyAlignment="1">
      <alignment vertical="center"/>
    </xf>
    <xf numFmtId="180" fontId="1" fillId="0" borderId="0" xfId="0" applyNumberFormat="1" applyFont="1" applyFill="1" applyBorder="1" applyAlignment="1">
      <alignment vertical="center"/>
    </xf>
    <xf numFmtId="180" fontId="1" fillId="0" borderId="35" xfId="0" applyNumberFormat="1" applyFont="1" applyFill="1" applyBorder="1" applyAlignment="1">
      <alignment vertical="center"/>
    </xf>
    <xf numFmtId="206" fontId="1" fillId="0" borderId="9" xfId="0" applyNumberFormat="1" applyFont="1" applyFill="1" applyBorder="1" applyAlignment="1">
      <alignment horizontal="right" vertical="center"/>
    </xf>
    <xf numFmtId="206" fontId="1" fillId="0" borderId="34" xfId="0" applyNumberFormat="1" applyFont="1" applyFill="1" applyBorder="1" applyAlignment="1">
      <alignment horizontal="right" vertical="center"/>
    </xf>
    <xf numFmtId="176" fontId="3" fillId="0" borderId="9" xfId="0" applyNumberFormat="1" applyFont="1" applyBorder="1" applyAlignment="1">
      <alignment horizontal="right" vertical="center"/>
    </xf>
    <xf numFmtId="176" fontId="3" fillId="0" borderId="34" xfId="0" applyNumberFormat="1" applyFont="1" applyBorder="1" applyAlignment="1">
      <alignment horizontal="right" vertical="center"/>
    </xf>
    <xf numFmtId="176" fontId="1" fillId="0" borderId="35" xfId="0" applyNumberFormat="1" applyFont="1" applyBorder="1" applyAlignment="1">
      <alignment horizontal="right" vertical="center"/>
    </xf>
    <xf numFmtId="176" fontId="1" fillId="0" borderId="20" xfId="0" applyNumberFormat="1" applyFont="1" applyBorder="1" applyAlignment="1">
      <alignment horizontal="right" vertical="center"/>
    </xf>
    <xf numFmtId="176" fontId="1" fillId="0" borderId="5" xfId="0" applyNumberFormat="1" applyFont="1" applyBorder="1" applyAlignment="1">
      <alignment vertical="center" shrinkToFit="1"/>
    </xf>
    <xf numFmtId="176" fontId="1" fillId="0" borderId="0" xfId="0" applyNumberFormat="1" applyFont="1" applyBorder="1" applyAlignment="1">
      <alignment vertical="center" shrinkToFit="1"/>
    </xf>
    <xf numFmtId="176" fontId="1" fillId="0" borderId="35" xfId="0" applyNumberFormat="1" applyFont="1" applyBorder="1" applyAlignment="1">
      <alignment vertical="center" shrinkToFit="1"/>
    </xf>
    <xf numFmtId="176" fontId="3" fillId="0" borderId="5" xfId="0" applyNumberFormat="1" applyFont="1" applyBorder="1" applyAlignment="1">
      <alignment vertical="center" shrinkToFit="1"/>
    </xf>
    <xf numFmtId="176" fontId="3" fillId="0" borderId="0" xfId="0" applyNumberFormat="1" applyFont="1" applyBorder="1" applyAlignment="1">
      <alignment vertical="center" shrinkToFit="1"/>
    </xf>
    <xf numFmtId="176" fontId="3" fillId="0" borderId="0" xfId="0" applyNumberFormat="1" applyFont="1" applyFill="1" applyBorder="1" applyAlignment="1">
      <alignment vertical="center" shrinkToFit="1"/>
    </xf>
    <xf numFmtId="176" fontId="3" fillId="0" borderId="35" xfId="0" applyNumberFormat="1" applyFont="1" applyFill="1" applyBorder="1" applyAlignment="1">
      <alignment vertical="center" shrinkToFit="1"/>
    </xf>
    <xf numFmtId="176" fontId="1" fillId="0" borderId="0" xfId="0" applyNumberFormat="1" applyFont="1" applyFill="1" applyBorder="1" applyAlignment="1">
      <alignment vertical="center" shrinkToFit="1"/>
    </xf>
    <xf numFmtId="176" fontId="1" fillId="0" borderId="35" xfId="0" applyNumberFormat="1" applyFont="1" applyFill="1" applyBorder="1" applyAlignment="1">
      <alignment horizontal="right" vertical="center" shrinkToFit="1"/>
    </xf>
    <xf numFmtId="176" fontId="1" fillId="0" borderId="35" xfId="0" applyNumberFormat="1" applyFont="1" applyFill="1" applyBorder="1" applyAlignment="1">
      <alignment vertical="center" shrinkToFit="1"/>
    </xf>
    <xf numFmtId="176" fontId="1" fillId="0" borderId="21" xfId="0" applyNumberFormat="1" applyFont="1" applyBorder="1" applyAlignment="1">
      <alignment vertical="center" shrinkToFit="1"/>
    </xf>
    <xf numFmtId="176" fontId="1" fillId="0" borderId="20" xfId="0" applyNumberFormat="1" applyFont="1" applyBorder="1" applyAlignment="1">
      <alignment vertical="center" shrinkToFit="1"/>
    </xf>
    <xf numFmtId="176" fontId="1" fillId="0" borderId="20" xfId="0" applyNumberFormat="1" applyFont="1" applyFill="1" applyBorder="1" applyAlignment="1">
      <alignment vertical="center" shrinkToFit="1"/>
    </xf>
    <xf numFmtId="176" fontId="1" fillId="0" borderId="42" xfId="0" applyNumberFormat="1" applyFont="1" applyFill="1" applyBorder="1" applyAlignment="1">
      <alignment vertical="center" shrinkToFit="1"/>
    </xf>
    <xf numFmtId="180" fontId="1" fillId="0" borderId="35" xfId="0" applyNumberFormat="1" applyFont="1" applyBorder="1" applyAlignment="1">
      <alignment horizontal="right" vertical="center"/>
    </xf>
    <xf numFmtId="0" fontId="1" fillId="0" borderId="60" xfId="0" applyFont="1" applyBorder="1" applyAlignment="1">
      <alignment horizontal="center" vertical="center"/>
    </xf>
    <xf numFmtId="41" fontId="1" fillId="0" borderId="0" xfId="0" applyNumberFormat="1" applyFont="1" applyBorder="1" applyAlignment="1">
      <alignment horizontal="right" vertical="center" shrinkToFit="1"/>
    </xf>
    <xf numFmtId="0" fontId="12" fillId="0" borderId="0" xfId="6" applyFont="1" applyAlignment="1">
      <alignment horizontal="centerContinuous" vertical="center"/>
    </xf>
    <xf numFmtId="0" fontId="11" fillId="0" borderId="0" xfId="6" applyAlignment="1">
      <alignment horizontal="centerContinuous"/>
    </xf>
    <xf numFmtId="0" fontId="11" fillId="0" borderId="0" xfId="6"/>
    <xf numFmtId="0" fontId="14" fillId="0" borderId="0" xfId="6" applyFont="1" applyAlignment="1">
      <alignment vertical="center"/>
    </xf>
    <xf numFmtId="0" fontId="1" fillId="0" borderId="0" xfId="6" applyFont="1" applyAlignment="1">
      <alignment vertical="center"/>
    </xf>
    <xf numFmtId="0" fontId="11" fillId="0" borderId="38" xfId="6" applyBorder="1"/>
    <xf numFmtId="0" fontId="11" fillId="0" borderId="38" xfId="6" applyBorder="1" applyAlignment="1">
      <alignment horizontal="center"/>
    </xf>
    <xf numFmtId="176" fontId="1" fillId="0" borderId="38" xfId="6" applyNumberFormat="1" applyFont="1" applyBorder="1" applyAlignment="1">
      <alignment vertical="center"/>
    </xf>
    <xf numFmtId="0" fontId="8" fillId="0" borderId="38" xfId="6" applyFont="1" applyBorder="1" applyAlignment="1">
      <alignment horizontal="center" vertical="center"/>
    </xf>
    <xf numFmtId="0" fontId="8" fillId="0" borderId="0" xfId="6" applyFont="1" applyBorder="1" applyAlignment="1">
      <alignment horizontal="center" vertical="center"/>
    </xf>
    <xf numFmtId="0" fontId="11" fillId="0" borderId="0" xfId="6" applyBorder="1"/>
    <xf numFmtId="0" fontId="1" fillId="0" borderId="38" xfId="6" applyFont="1" applyBorder="1" applyAlignment="1">
      <alignment horizontal="center" vertical="center"/>
    </xf>
    <xf numFmtId="191" fontId="3" fillId="0" borderId="0" xfId="6" applyNumberFormat="1" applyFont="1" applyBorder="1" applyAlignment="1">
      <alignment horizontal="right" vertical="center" indent="1"/>
    </xf>
    <xf numFmtId="0" fontId="8" fillId="0" borderId="0" xfId="6" applyFont="1"/>
    <xf numFmtId="0" fontId="7" fillId="0" borderId="38" xfId="6" applyFont="1" applyBorder="1"/>
    <xf numFmtId="38" fontId="11" fillId="0" borderId="0" xfId="6" applyNumberFormat="1"/>
    <xf numFmtId="176" fontId="1" fillId="0" borderId="0" xfId="6" applyNumberFormat="1" applyFont="1" applyBorder="1" applyAlignment="1">
      <alignment vertical="center"/>
    </xf>
    <xf numFmtId="0" fontId="11" fillId="0" borderId="38" xfId="6" applyBorder="1" applyAlignment="1">
      <alignment vertical="center"/>
    </xf>
    <xf numFmtId="0" fontId="1" fillId="0" borderId="38" xfId="6" applyFont="1" applyBorder="1" applyAlignment="1">
      <alignment horizontal="left" vertical="center"/>
    </xf>
    <xf numFmtId="38" fontId="7" fillId="0" borderId="38" xfId="3" applyFont="1" applyBorder="1"/>
    <xf numFmtId="49" fontId="1" fillId="0" borderId="0" xfId="6" applyNumberFormat="1" applyFont="1"/>
    <xf numFmtId="0" fontId="1" fillId="0" borderId="38" xfId="6" applyFont="1" applyBorder="1"/>
    <xf numFmtId="0" fontId="1" fillId="0" borderId="38" xfId="6" applyNumberFormat="1" applyFont="1" applyBorder="1" applyAlignment="1">
      <alignment horizontal="center"/>
    </xf>
    <xf numFmtId="0" fontId="1" fillId="0" borderId="0" xfId="6" applyFont="1"/>
    <xf numFmtId="0" fontId="1" fillId="0" borderId="0" xfId="6" applyFont="1" applyFill="1"/>
    <xf numFmtId="203" fontId="1" fillId="0" borderId="9" xfId="0" applyNumberFormat="1" applyFont="1" applyFill="1" applyBorder="1" applyAlignment="1">
      <alignment vertical="center"/>
    </xf>
    <xf numFmtId="203" fontId="1" fillId="0" borderId="20" xfId="0" applyNumberFormat="1" applyFont="1" applyFill="1" applyBorder="1" applyAlignment="1">
      <alignment vertical="center"/>
    </xf>
    <xf numFmtId="194" fontId="1" fillId="0" borderId="38" xfId="4" applyNumberFormat="1" applyFont="1" applyFill="1" applyBorder="1" applyAlignment="1">
      <alignment vertical="center"/>
    </xf>
    <xf numFmtId="0" fontId="7" fillId="0" borderId="38" xfId="6" applyFont="1" applyBorder="1" applyAlignment="1">
      <alignment horizontal="center"/>
    </xf>
    <xf numFmtId="0" fontId="1" fillId="0" borderId="38" xfId="6" applyFont="1" applyBorder="1" applyAlignment="1">
      <alignment horizontal="center"/>
    </xf>
    <xf numFmtId="0" fontId="1" fillId="0" borderId="61" xfId="6" applyFont="1" applyBorder="1" applyAlignment="1">
      <alignment horizontal="center"/>
    </xf>
    <xf numFmtId="176" fontId="1" fillId="0" borderId="38" xfId="0" applyNumberFormat="1" applyFont="1" applyFill="1" applyBorder="1" applyAlignment="1">
      <alignment horizontal="right" vertical="center"/>
    </xf>
    <xf numFmtId="201" fontId="1" fillId="0" borderId="38" xfId="0" applyNumberFormat="1" applyFont="1" applyBorder="1" applyAlignment="1">
      <alignment horizontal="right" vertical="center"/>
    </xf>
    <xf numFmtId="185" fontId="1" fillId="0" borderId="38" xfId="0" applyNumberFormat="1" applyFont="1" applyFill="1" applyBorder="1" applyAlignment="1">
      <alignment horizontal="right" vertical="center"/>
    </xf>
    <xf numFmtId="185" fontId="1" fillId="0" borderId="38" xfId="6" applyNumberFormat="1" applyFont="1" applyBorder="1"/>
    <xf numFmtId="0" fontId="15" fillId="0" borderId="0" xfId="6" applyFont="1" applyBorder="1" applyAlignment="1">
      <alignment horizontal="center" vertical="center"/>
    </xf>
    <xf numFmtId="0" fontId="1" fillId="0" borderId="13" xfId="0" applyFont="1" applyBorder="1" applyAlignment="1">
      <alignment horizontal="justify" vertical="center"/>
    </xf>
    <xf numFmtId="0" fontId="1" fillId="0" borderId="57" xfId="0" applyFont="1" applyBorder="1" applyAlignment="1">
      <alignment horizontal="justify" vertical="center"/>
    </xf>
    <xf numFmtId="176" fontId="1" fillId="0" borderId="0" xfId="0" applyNumberFormat="1" applyFont="1" applyBorder="1">
      <alignment vertical="center"/>
    </xf>
    <xf numFmtId="176" fontId="1" fillId="0" borderId="35" xfId="0" applyNumberFormat="1" applyFont="1" applyBorder="1">
      <alignment vertical="center"/>
    </xf>
    <xf numFmtId="198" fontId="1" fillId="0" borderId="35" xfId="0" applyNumberFormat="1" applyFont="1" applyBorder="1" applyAlignment="1">
      <alignment vertical="center"/>
    </xf>
    <xf numFmtId="198" fontId="1" fillId="0" borderId="42" xfId="0" applyNumberFormat="1" applyFont="1" applyBorder="1" applyAlignment="1">
      <alignment vertical="center"/>
    </xf>
    <xf numFmtId="198" fontId="21" fillId="0" borderId="35" xfId="0" applyNumberFormat="1" applyFont="1" applyBorder="1" applyAlignment="1">
      <alignment vertical="center"/>
    </xf>
    <xf numFmtId="176" fontId="0" fillId="0" borderId="0" xfId="0" applyNumberFormat="1" applyBorder="1" applyAlignment="1">
      <alignment horizontal="right" vertical="center"/>
    </xf>
    <xf numFmtId="41" fontId="1" fillId="0" borderId="35" xfId="0" applyNumberFormat="1" applyFont="1" applyBorder="1" applyAlignment="1">
      <alignment horizontal="right" vertical="center" shrinkToFit="1"/>
    </xf>
    <xf numFmtId="41" fontId="1" fillId="0" borderId="0" xfId="0" applyNumberFormat="1" applyFont="1" applyBorder="1" applyAlignment="1">
      <alignment horizontal="right" vertical="center"/>
    </xf>
    <xf numFmtId="41" fontId="1" fillId="0" borderId="20" xfId="0" applyNumberFormat="1" applyFont="1" applyBorder="1" applyAlignment="1">
      <alignment horizontal="right" vertical="center"/>
    </xf>
    <xf numFmtId="0" fontId="20" fillId="0" borderId="0" xfId="0" applyFont="1" applyAlignment="1">
      <alignment vertical="center"/>
    </xf>
    <xf numFmtId="0" fontId="21" fillId="0" borderId="0" xfId="0" applyFont="1" applyAlignment="1">
      <alignment horizontal="right" vertical="center"/>
    </xf>
    <xf numFmtId="0" fontId="22" fillId="0" borderId="0" xfId="0" applyFont="1" applyAlignment="1">
      <alignment vertical="center"/>
    </xf>
    <xf numFmtId="0" fontId="1" fillId="0" borderId="61" xfId="0" applyFont="1" applyBorder="1" applyAlignment="1">
      <alignment vertical="center"/>
    </xf>
    <xf numFmtId="181" fontId="1" fillId="0" borderId="22" xfId="2" applyNumberFormat="1" applyFont="1" applyFill="1" applyBorder="1" applyAlignment="1">
      <alignment vertical="center"/>
    </xf>
    <xf numFmtId="176" fontId="8" fillId="0" borderId="0" xfId="0" applyNumberFormat="1" applyFont="1" applyFill="1" applyBorder="1" applyAlignment="1">
      <alignment vertical="center"/>
    </xf>
    <xf numFmtId="176" fontId="1" fillId="0" borderId="0" xfId="4" applyNumberFormat="1" applyFont="1" applyFill="1" applyBorder="1" applyAlignment="1">
      <alignment vertical="center"/>
    </xf>
    <xf numFmtId="176" fontId="1" fillId="0" borderId="20" xfId="4" applyNumberFormat="1" applyFont="1" applyFill="1" applyBorder="1" applyAlignment="1">
      <alignment vertical="center"/>
    </xf>
    <xf numFmtId="0" fontId="18" fillId="0" borderId="0" xfId="5" applyFont="1" applyFill="1" applyAlignment="1">
      <alignment horizontal="centerContinuous" vertical="center"/>
    </xf>
    <xf numFmtId="0" fontId="1" fillId="0" borderId="0" xfId="5" applyFont="1" applyFill="1" applyAlignment="1">
      <alignment vertical="center"/>
    </xf>
    <xf numFmtId="0" fontId="1" fillId="0" borderId="0" xfId="5" applyFont="1" applyFill="1" applyAlignment="1">
      <alignment horizontal="right" vertical="center"/>
    </xf>
    <xf numFmtId="0" fontId="1" fillId="0" borderId="38" xfId="5" applyFont="1" applyFill="1" applyBorder="1" applyAlignment="1">
      <alignment horizontal="center" vertical="center"/>
    </xf>
    <xf numFmtId="0" fontId="11" fillId="0" borderId="0" xfId="5" applyFont="1" applyFill="1"/>
    <xf numFmtId="0" fontId="11" fillId="0" borderId="0" xfId="5" applyFont="1" applyFill="1" applyBorder="1"/>
    <xf numFmtId="0" fontId="1" fillId="0" borderId="0" xfId="5" applyFont="1" applyFill="1"/>
    <xf numFmtId="178" fontId="1" fillId="0" borderId="0" xfId="5" applyNumberFormat="1" applyFont="1" applyFill="1" applyBorder="1" applyAlignment="1">
      <alignment vertical="center"/>
    </xf>
    <xf numFmtId="0" fontId="1" fillId="0" borderId="64" xfId="5" applyFont="1" applyFill="1" applyBorder="1" applyAlignment="1">
      <alignment horizontal="center" vertical="center"/>
    </xf>
    <xf numFmtId="0" fontId="1" fillId="0" borderId="65" xfId="0" applyFont="1" applyFill="1" applyBorder="1" applyAlignment="1">
      <alignment horizontal="center" vertical="center"/>
    </xf>
    <xf numFmtId="177" fontId="1" fillId="0" borderId="23" xfId="0" applyNumberFormat="1" applyFont="1" applyFill="1" applyBorder="1" applyAlignment="1">
      <alignment horizontal="center" vertical="center"/>
    </xf>
    <xf numFmtId="0" fontId="3" fillId="0" borderId="25" xfId="0" applyFont="1" applyFill="1" applyBorder="1" applyAlignment="1">
      <alignment horizontal="justify" vertical="center" indent="1"/>
    </xf>
    <xf numFmtId="190" fontId="1" fillId="0" borderId="0" xfId="0" applyNumberFormat="1" applyFont="1" applyFill="1" applyBorder="1" applyAlignment="1">
      <alignment horizontal="right" vertical="center"/>
    </xf>
    <xf numFmtId="186" fontId="1" fillId="0" borderId="35" xfId="0" applyNumberFormat="1" applyFont="1" applyFill="1" applyBorder="1" applyAlignment="1">
      <alignment horizontal="right" vertical="center"/>
    </xf>
    <xf numFmtId="0" fontId="6" fillId="0" borderId="19" xfId="0" applyFont="1" applyFill="1" applyBorder="1" applyAlignment="1">
      <alignment horizontal="center" vertical="center"/>
    </xf>
    <xf numFmtId="187" fontId="1" fillId="0" borderId="20" xfId="1" applyNumberFormat="1" applyFont="1" applyFill="1" applyBorder="1" applyAlignment="1" applyProtection="1">
      <alignment horizontal="right" vertical="center"/>
    </xf>
    <xf numFmtId="186" fontId="1" fillId="0" borderId="42" xfId="0" applyNumberFormat="1" applyFont="1" applyFill="1" applyBorder="1" applyAlignment="1">
      <alignment horizontal="right" vertical="center"/>
    </xf>
    <xf numFmtId="177" fontId="1" fillId="0" borderId="0" xfId="0" applyNumberFormat="1" applyFont="1" applyFill="1" applyAlignment="1">
      <alignment horizontal="right" vertical="center"/>
    </xf>
    <xf numFmtId="0" fontId="1" fillId="0" borderId="0" xfId="6" applyFont="1" applyAlignment="1">
      <alignment horizontal="left" vertical="center"/>
    </xf>
    <xf numFmtId="0" fontId="1" fillId="0" borderId="0" xfId="6" applyFont="1" applyAlignment="1">
      <alignment horizontal="right" vertical="center"/>
    </xf>
    <xf numFmtId="0" fontId="4" fillId="0" borderId="0" xfId="6" applyFont="1" applyBorder="1" applyAlignment="1">
      <alignment vertical="center"/>
    </xf>
    <xf numFmtId="191" fontId="4" fillId="0" borderId="0" xfId="6" applyNumberFormat="1" applyFont="1" applyBorder="1" applyAlignment="1">
      <alignment vertical="center"/>
    </xf>
    <xf numFmtId="0" fontId="23" fillId="0" borderId="0" xfId="6" applyFont="1" applyBorder="1"/>
    <xf numFmtId="0" fontId="1" fillId="0" borderId="0" xfId="6" applyFont="1" applyBorder="1" applyAlignment="1">
      <alignment vertical="center"/>
    </xf>
    <xf numFmtId="0" fontId="8" fillId="0" borderId="0" xfId="6" applyFont="1" applyBorder="1" applyAlignment="1">
      <alignment horizontal="center"/>
    </xf>
    <xf numFmtId="199" fontId="1" fillId="0" borderId="0" xfId="6" applyNumberFormat="1" applyFont="1" applyBorder="1" applyAlignment="1">
      <alignment horizontal="right" vertical="center"/>
    </xf>
    <xf numFmtId="0" fontId="7" fillId="0" borderId="0" xfId="6" applyFont="1" applyBorder="1"/>
    <xf numFmtId="38" fontId="7" fillId="0" borderId="0" xfId="3" applyFont="1" applyBorder="1"/>
    <xf numFmtId="207" fontId="1" fillId="0" borderId="0" xfId="6" applyNumberFormat="1" applyFont="1" applyAlignment="1">
      <alignment horizontal="left"/>
    </xf>
    <xf numFmtId="207" fontId="7" fillId="0" borderId="0" xfId="6" applyNumberFormat="1" applyFont="1" applyAlignment="1">
      <alignment horizontal="left"/>
    </xf>
    <xf numFmtId="210" fontId="11" fillId="0" borderId="38" xfId="6" applyNumberFormat="1" applyBorder="1"/>
    <xf numFmtId="179" fontId="1" fillId="0" borderId="38" xfId="6" applyNumberFormat="1" applyFont="1" applyBorder="1" applyAlignment="1">
      <alignment horizontal="right" vertical="center"/>
    </xf>
    <xf numFmtId="0" fontId="11" fillId="0" borderId="38" xfId="6" applyFont="1" applyBorder="1" applyAlignment="1">
      <alignment horizontal="center"/>
    </xf>
    <xf numFmtId="179" fontId="1" fillId="0" borderId="0" xfId="6" applyNumberFormat="1" applyFont="1" applyAlignment="1">
      <alignment horizontal="right"/>
    </xf>
    <xf numFmtId="180" fontId="1" fillId="0" borderId="0" xfId="6" applyNumberFormat="1" applyFont="1" applyAlignment="1">
      <alignment horizontal="center"/>
    </xf>
    <xf numFmtId="176" fontId="1" fillId="0" borderId="38" xfId="6" applyNumberFormat="1" applyFont="1" applyBorder="1"/>
    <xf numFmtId="179" fontId="1" fillId="0" borderId="38" xfId="6" applyNumberFormat="1" applyFont="1" applyBorder="1" applyAlignment="1">
      <alignment horizontal="right"/>
    </xf>
    <xf numFmtId="180" fontId="1" fillId="0" borderId="38" xfId="6" applyNumberFormat="1" applyFont="1" applyBorder="1" applyAlignment="1">
      <alignment horizontal="center" vertical="center"/>
    </xf>
    <xf numFmtId="176" fontId="1" fillId="0" borderId="38" xfId="0" applyNumberFormat="1" applyFont="1" applyFill="1" applyBorder="1" applyAlignment="1">
      <alignment vertical="center"/>
    </xf>
    <xf numFmtId="49" fontId="21" fillId="0" borderId="31" xfId="4" applyNumberFormat="1" applyFont="1" applyFill="1" applyBorder="1" applyAlignment="1">
      <alignment horizontal="left" vertical="center"/>
    </xf>
    <xf numFmtId="0" fontId="8" fillId="0" borderId="0" xfId="0" applyFont="1" applyFill="1" applyBorder="1" applyAlignment="1">
      <alignment vertical="center"/>
    </xf>
    <xf numFmtId="0" fontId="1" fillId="0" borderId="22" xfId="0" applyFont="1" applyBorder="1" applyAlignment="1">
      <alignment horizontal="center" vertical="center"/>
    </xf>
    <xf numFmtId="0" fontId="1" fillId="0" borderId="67" xfId="0" applyFont="1" applyBorder="1" applyAlignment="1">
      <alignment horizontal="center" vertical="center"/>
    </xf>
    <xf numFmtId="0" fontId="1" fillId="0" borderId="31" xfId="0" applyFont="1" applyBorder="1" applyAlignment="1">
      <alignment vertical="center"/>
    </xf>
    <xf numFmtId="0" fontId="1" fillId="0" borderId="15" xfId="0" applyFont="1" applyBorder="1" applyAlignment="1">
      <alignment vertical="center"/>
    </xf>
    <xf numFmtId="181" fontId="1" fillId="0" borderId="0" xfId="2" applyNumberFormat="1" applyFont="1" applyFill="1" applyBorder="1" applyAlignment="1">
      <alignment horizontal="right" vertical="center"/>
    </xf>
    <xf numFmtId="0" fontId="1" fillId="0" borderId="0" xfId="6" applyFont="1" applyAlignment="1">
      <alignment horizontal="center"/>
    </xf>
    <xf numFmtId="189" fontId="3" fillId="0" borderId="0" xfId="0" applyNumberFormat="1" applyFont="1" applyFill="1" applyBorder="1" applyAlignment="1">
      <alignment vertical="center"/>
    </xf>
    <xf numFmtId="49" fontId="3" fillId="0" borderId="36" xfId="0" applyNumberFormat="1" applyFont="1" applyBorder="1" applyAlignment="1">
      <alignment horizontal="center" vertical="center"/>
    </xf>
    <xf numFmtId="176" fontId="3" fillId="0" borderId="21" xfId="0" applyNumberFormat="1" applyFont="1" applyBorder="1" applyAlignment="1">
      <alignment horizontal="right" vertical="center"/>
    </xf>
    <xf numFmtId="176" fontId="3" fillId="0" borderId="20" xfId="0" applyNumberFormat="1" applyFont="1" applyFill="1" applyBorder="1" applyAlignment="1">
      <alignment horizontal="right" vertical="center"/>
    </xf>
    <xf numFmtId="201" fontId="3" fillId="0" borderId="20" xfId="0" applyNumberFormat="1" applyFont="1" applyBorder="1" applyAlignment="1">
      <alignment horizontal="right" vertical="center"/>
    </xf>
    <xf numFmtId="189" fontId="3" fillId="0" borderId="20" xfId="0" applyNumberFormat="1" applyFont="1" applyBorder="1" applyAlignment="1">
      <alignment horizontal="right" vertical="center"/>
    </xf>
    <xf numFmtId="185" fontId="3" fillId="0" borderId="42" xfId="0" applyNumberFormat="1" applyFont="1" applyFill="1" applyBorder="1" applyAlignment="1">
      <alignment horizontal="right" vertical="center"/>
    </xf>
    <xf numFmtId="200" fontId="1" fillId="0" borderId="9" xfId="0" applyNumberFormat="1" applyFont="1" applyBorder="1" applyAlignment="1">
      <alignment vertical="center"/>
    </xf>
    <xf numFmtId="200" fontId="1" fillId="0" borderId="0" xfId="0" applyNumberFormat="1" applyFont="1" applyBorder="1" applyAlignment="1">
      <alignment vertical="center"/>
    </xf>
    <xf numFmtId="200" fontId="3" fillId="0" borderId="0" xfId="0" applyNumberFormat="1" applyFont="1" applyBorder="1" applyAlignment="1">
      <alignment vertical="center"/>
    </xf>
    <xf numFmtId="200" fontId="1" fillId="0" borderId="20" xfId="0" applyNumberFormat="1" applyFont="1" applyBorder="1" applyAlignment="1">
      <alignment vertical="center"/>
    </xf>
    <xf numFmtId="176" fontId="1" fillId="0" borderId="0" xfId="0" applyNumberFormat="1" applyFont="1" applyFill="1" applyBorder="1" applyAlignment="1">
      <alignment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176" fontId="1" fillId="0" borderId="5" xfId="0" applyNumberFormat="1" applyFont="1" applyBorder="1" applyAlignment="1">
      <alignment vertical="center"/>
    </xf>
    <xf numFmtId="176" fontId="3" fillId="0" borderId="5" xfId="0" applyNumberFormat="1" applyFont="1" applyBorder="1" applyAlignment="1">
      <alignment vertical="center"/>
    </xf>
    <xf numFmtId="176" fontId="1" fillId="0" borderId="21" xfId="0" applyNumberFormat="1" applyFont="1" applyBorder="1" applyAlignment="1">
      <alignment vertical="center"/>
    </xf>
    <xf numFmtId="176" fontId="3" fillId="0" borderId="0" xfId="0" applyNumberFormat="1" applyFont="1" applyBorder="1" applyAlignment="1">
      <alignment vertical="center"/>
    </xf>
    <xf numFmtId="176" fontId="1" fillId="0" borderId="0" xfId="0" applyNumberFormat="1" applyFont="1" applyBorder="1" applyAlignment="1">
      <alignment vertical="center"/>
    </xf>
    <xf numFmtId="176" fontId="1" fillId="0" borderId="20" xfId="0" applyNumberFormat="1" applyFont="1" applyBorder="1" applyAlignment="1">
      <alignment vertical="center"/>
    </xf>
    <xf numFmtId="206" fontId="1" fillId="0" borderId="35" xfId="0" applyNumberFormat="1" applyFont="1" applyFill="1" applyBorder="1" applyAlignment="1">
      <alignment horizontal="right" vertical="center"/>
    </xf>
    <xf numFmtId="206" fontId="1" fillId="0" borderId="42" xfId="0" applyNumberFormat="1" applyFont="1" applyFill="1" applyBorder="1" applyAlignment="1">
      <alignment horizontal="right" vertical="center"/>
    </xf>
    <xf numFmtId="206" fontId="1" fillId="0" borderId="0" xfId="0" applyNumberFormat="1" applyFont="1" applyFill="1" applyBorder="1" applyAlignment="1">
      <alignment horizontal="right" vertical="center"/>
    </xf>
    <xf numFmtId="206" fontId="1" fillId="0" borderId="20" xfId="0" applyNumberFormat="1" applyFont="1" applyFill="1" applyBorder="1" applyAlignment="1">
      <alignment horizontal="right" vertical="center"/>
    </xf>
    <xf numFmtId="180" fontId="1" fillId="0" borderId="0" xfId="0" applyNumberFormat="1" applyFont="1" applyBorder="1" applyAlignment="1">
      <alignment horizontal="right" vertical="center"/>
    </xf>
    <xf numFmtId="0" fontId="20" fillId="0" borderId="0" xfId="0" applyFont="1" applyBorder="1" applyAlignment="1">
      <alignment vertical="center"/>
    </xf>
    <xf numFmtId="0" fontId="24" fillId="0" borderId="38" xfId="6" applyFont="1" applyBorder="1"/>
    <xf numFmtId="38" fontId="24" fillId="0" borderId="38" xfId="6" applyNumberFormat="1" applyFont="1" applyBorder="1"/>
    <xf numFmtId="178" fontId="1" fillId="0" borderId="0" xfId="0" applyNumberFormat="1" applyFont="1" applyFill="1" applyAlignment="1">
      <alignment vertical="center"/>
    </xf>
    <xf numFmtId="0" fontId="1" fillId="0" borderId="0" xfId="0" applyFont="1" applyFill="1" applyAlignment="1">
      <alignment horizontal="center" vertical="center"/>
    </xf>
    <xf numFmtId="194" fontId="1" fillId="0" borderId="0" xfId="4" applyNumberFormat="1" applyFont="1" applyFill="1" applyAlignment="1"/>
    <xf numFmtId="0" fontId="1" fillId="0" borderId="0" xfId="4" applyFont="1" applyFill="1" applyAlignment="1"/>
    <xf numFmtId="0" fontId="1" fillId="0" borderId="19" xfId="4" applyFont="1" applyFill="1" applyBorder="1" applyAlignment="1">
      <alignment horizontal="distributed" vertical="center"/>
    </xf>
    <xf numFmtId="0" fontId="1" fillId="0" borderId="0" xfId="4" applyFont="1" applyFill="1">
      <alignment vertical="center"/>
    </xf>
    <xf numFmtId="0" fontId="1" fillId="0" borderId="36" xfId="4" applyFont="1" applyFill="1" applyBorder="1" applyAlignment="1">
      <alignment horizontal="distributed" vertical="center"/>
    </xf>
    <xf numFmtId="0" fontId="1" fillId="0" borderId="0" xfId="4" applyFont="1" applyFill="1" applyAlignment="1">
      <alignment vertical="center"/>
    </xf>
    <xf numFmtId="178" fontId="1" fillId="0" borderId="0" xfId="0" applyNumberFormat="1" applyFont="1" applyFill="1">
      <alignment vertical="center"/>
    </xf>
    <xf numFmtId="0" fontId="20" fillId="0" borderId="0" xfId="0" applyFont="1" applyFill="1" applyAlignment="1">
      <alignment vertical="center"/>
    </xf>
    <xf numFmtId="178" fontId="20" fillId="0" borderId="0" xfId="0" applyNumberFormat="1" applyFont="1" applyFill="1" applyAlignment="1">
      <alignment vertical="center"/>
    </xf>
    <xf numFmtId="0" fontId="20" fillId="0" borderId="0" xfId="0" applyFont="1" applyFill="1">
      <alignment vertical="center"/>
    </xf>
    <xf numFmtId="0" fontId="20" fillId="0" borderId="0" xfId="0" applyFont="1" applyFill="1" applyAlignment="1">
      <alignment horizontal="center" vertical="center"/>
    </xf>
    <xf numFmtId="0" fontId="20" fillId="0" borderId="0" xfId="4" applyFont="1" applyFill="1">
      <alignment vertical="center"/>
    </xf>
    <xf numFmtId="0" fontId="20" fillId="0" borderId="0" xfId="0" applyFont="1" applyFill="1" applyAlignment="1">
      <alignment horizontal="left" vertical="center" indent="1"/>
    </xf>
    <xf numFmtId="186" fontId="1" fillId="0" borderId="90" xfId="0" applyNumberFormat="1" applyFont="1" applyFill="1" applyBorder="1" applyAlignment="1">
      <alignment vertical="center"/>
    </xf>
    <xf numFmtId="192" fontId="1" fillId="0" borderId="90" xfId="0" applyNumberFormat="1" applyFont="1" applyFill="1" applyBorder="1" applyAlignment="1">
      <alignment vertical="center"/>
    </xf>
    <xf numFmtId="193" fontId="1" fillId="0" borderId="90" xfId="0" applyNumberFormat="1" applyFont="1" applyFill="1" applyBorder="1" applyAlignment="1">
      <alignment vertical="center"/>
    </xf>
    <xf numFmtId="186" fontId="1" fillId="0" borderId="90" xfId="4" applyNumberFormat="1" applyFont="1" applyFill="1" applyBorder="1" applyAlignment="1">
      <alignment vertical="center"/>
    </xf>
    <xf numFmtId="0" fontId="1" fillId="0" borderId="4" xfId="0" applyFont="1" applyFill="1" applyBorder="1" applyAlignment="1">
      <alignment horizontal="center" vertical="center"/>
    </xf>
    <xf numFmtId="0" fontId="1" fillId="0" borderId="0" xfId="0" applyFont="1" applyBorder="1" applyAlignment="1">
      <alignment horizontal="center" vertical="center"/>
    </xf>
    <xf numFmtId="0" fontId="1" fillId="0" borderId="1" xfId="0" applyFont="1" applyBorder="1" applyAlignment="1">
      <alignment horizontal="center" vertical="center"/>
    </xf>
    <xf numFmtId="0" fontId="1" fillId="0" borderId="0" xfId="0" applyFont="1" applyBorder="1" applyAlignment="1">
      <alignment vertical="center"/>
    </xf>
    <xf numFmtId="0" fontId="1" fillId="0" borderId="39" xfId="0" applyFont="1" applyBorder="1" applyAlignment="1">
      <alignment horizontal="center" vertical="center"/>
    </xf>
    <xf numFmtId="0" fontId="1" fillId="0" borderId="4" xfId="0" applyFont="1" applyBorder="1" applyAlignment="1">
      <alignment horizontal="center" vertical="center"/>
    </xf>
    <xf numFmtId="205" fontId="1" fillId="0" borderId="35" xfId="0" applyNumberFormat="1" applyFont="1" applyBorder="1" applyAlignment="1">
      <alignment horizontal="right" vertical="center"/>
    </xf>
    <xf numFmtId="0" fontId="1" fillId="0" borderId="25" xfId="0" applyFont="1" applyBorder="1" applyAlignment="1">
      <alignment horizontal="distributed" vertical="center"/>
    </xf>
    <xf numFmtId="0" fontId="3" fillId="0" borderId="25" xfId="0" applyFont="1" applyBorder="1" applyAlignment="1">
      <alignment horizontal="distributed" vertical="center"/>
    </xf>
    <xf numFmtId="0" fontId="1" fillId="0" borderId="24" xfId="0" applyFont="1" applyBorder="1" applyAlignment="1">
      <alignment horizontal="distributed" vertical="center"/>
    </xf>
    <xf numFmtId="0" fontId="1" fillId="0" borderId="92" xfId="0" applyFont="1" applyBorder="1" applyAlignment="1">
      <alignment horizontal="center" vertical="center"/>
    </xf>
    <xf numFmtId="0" fontId="1" fillId="0" borderId="4" xfId="0" applyFont="1" applyBorder="1" applyAlignment="1">
      <alignment horizontal="center" vertical="center"/>
    </xf>
    <xf numFmtId="0" fontId="1" fillId="0" borderId="1" xfId="0" applyFont="1" applyBorder="1" applyAlignment="1">
      <alignment horizontal="center" vertical="center"/>
    </xf>
    <xf numFmtId="0" fontId="1" fillId="0" borderId="10" xfId="0" applyFont="1" applyBorder="1" applyAlignment="1">
      <alignment horizontal="center" vertical="center"/>
    </xf>
    <xf numFmtId="176" fontId="1" fillId="0" borderId="0" xfId="0" applyNumberFormat="1" applyFont="1" applyFill="1" applyBorder="1">
      <alignment vertical="center"/>
    </xf>
    <xf numFmtId="176" fontId="1" fillId="0" borderId="0" xfId="0" applyNumberFormat="1" applyFont="1" applyFill="1" applyBorder="1" applyAlignment="1">
      <alignment vertical="center"/>
    </xf>
    <xf numFmtId="176" fontId="1" fillId="0" borderId="20" xfId="0" applyNumberFormat="1" applyFont="1" applyFill="1" applyBorder="1" applyAlignment="1">
      <alignment vertical="center"/>
    </xf>
    <xf numFmtId="0" fontId="1" fillId="0" borderId="1" xfId="0" applyFont="1" applyBorder="1" applyAlignment="1">
      <alignment horizontal="center" vertical="center"/>
    </xf>
    <xf numFmtId="176" fontId="3" fillId="0" borderId="0" xfId="0" applyNumberFormat="1" applyFont="1" applyFill="1" applyBorder="1" applyAlignment="1">
      <alignment vertical="center"/>
    </xf>
    <xf numFmtId="0" fontId="3" fillId="0" borderId="13" xfId="0" applyFont="1" applyBorder="1" applyAlignment="1">
      <alignment vertical="center"/>
    </xf>
    <xf numFmtId="0" fontId="1" fillId="0" borderId="37" xfId="0" applyFont="1" applyBorder="1" applyAlignment="1">
      <alignment vertical="center"/>
    </xf>
    <xf numFmtId="0" fontId="1" fillId="0" borderId="94" xfId="0" applyFont="1" applyBorder="1" applyAlignment="1">
      <alignment horizontal="center" vertical="center"/>
    </xf>
    <xf numFmtId="176" fontId="1" fillId="0" borderId="57" xfId="0" applyNumberFormat="1" applyFont="1" applyFill="1" applyBorder="1" applyAlignment="1">
      <alignment vertical="center"/>
    </xf>
    <xf numFmtId="176" fontId="3" fillId="0" borderId="57" xfId="0" applyNumberFormat="1" applyFont="1" applyFill="1" applyBorder="1" applyAlignment="1">
      <alignment vertical="center"/>
    </xf>
    <xf numFmtId="176" fontId="1" fillId="0" borderId="58" xfId="0" applyNumberFormat="1" applyFont="1" applyFill="1" applyBorder="1" applyAlignment="1">
      <alignment vertical="center"/>
    </xf>
    <xf numFmtId="0" fontId="1" fillId="0" borderId="0" xfId="0" applyFont="1" applyFill="1" applyBorder="1" applyAlignment="1">
      <alignment horizontal="right" vertical="center"/>
    </xf>
    <xf numFmtId="0" fontId="1" fillId="0" borderId="0" xfId="0" applyFont="1" applyBorder="1" applyAlignment="1">
      <alignment horizontal="right" vertical="center"/>
    </xf>
    <xf numFmtId="0" fontId="1" fillId="0" borderId="1"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25" xfId="0" applyFont="1" applyBorder="1" applyAlignment="1">
      <alignment horizontal="distributed" vertical="center"/>
    </xf>
    <xf numFmtId="0" fontId="1" fillId="0" borderId="35" xfId="0" applyFont="1" applyBorder="1" applyAlignment="1">
      <alignment horizontal="right" vertical="center"/>
    </xf>
    <xf numFmtId="0" fontId="3" fillId="0" borderId="35" xfId="0" applyFont="1" applyBorder="1" applyAlignment="1">
      <alignment horizontal="right" vertical="center"/>
    </xf>
    <xf numFmtId="0" fontId="1" fillId="0" borderId="42" xfId="0" applyFont="1" applyBorder="1" applyAlignment="1">
      <alignment horizontal="right" vertical="center"/>
    </xf>
    <xf numFmtId="0" fontId="1" fillId="0" borderId="102" xfId="0" applyFont="1" applyBorder="1" applyAlignment="1">
      <alignment horizontal="center" vertical="center"/>
    </xf>
    <xf numFmtId="0" fontId="1" fillId="0" borderId="103" xfId="0" applyFont="1" applyFill="1" applyBorder="1" applyAlignment="1">
      <alignment horizontal="right" vertical="center"/>
    </xf>
    <xf numFmtId="0" fontId="1" fillId="0" borderId="90" xfId="0" applyFont="1" applyFill="1" applyBorder="1" applyAlignment="1">
      <alignment horizontal="right" vertical="center"/>
    </xf>
    <xf numFmtId="0" fontId="1" fillId="0" borderId="91" xfId="0" applyFont="1" applyFill="1" applyBorder="1" applyAlignment="1">
      <alignment horizontal="right" vertical="center"/>
    </xf>
    <xf numFmtId="0" fontId="1" fillId="0" borderId="68" xfId="0" applyFont="1" applyBorder="1" applyAlignment="1">
      <alignment vertical="center"/>
    </xf>
    <xf numFmtId="0" fontId="1" fillId="0" borderId="57" xfId="0" applyFont="1" applyBorder="1" applyAlignment="1">
      <alignment vertical="center"/>
    </xf>
    <xf numFmtId="0" fontId="3" fillId="0" borderId="57" xfId="0" applyFont="1" applyBorder="1" applyAlignment="1">
      <alignment vertical="center"/>
    </xf>
    <xf numFmtId="0" fontId="1" fillId="0" borderId="58" xfId="0" applyFont="1" applyBorder="1" applyAlignment="1">
      <alignment vertical="center"/>
    </xf>
    <xf numFmtId="0" fontId="1" fillId="0" borderId="0" xfId="0" applyFont="1" applyFill="1" applyBorder="1" applyAlignment="1">
      <alignment horizontal="right" vertical="center"/>
    </xf>
    <xf numFmtId="0" fontId="1" fillId="0" borderId="4" xfId="0" applyFont="1" applyFill="1" applyBorder="1" applyAlignment="1">
      <alignment horizontal="center" vertical="center"/>
    </xf>
    <xf numFmtId="176" fontId="1" fillId="0" borderId="0" xfId="0" applyNumberFormat="1" applyFont="1" applyFill="1" applyBorder="1" applyAlignment="1">
      <alignment vertical="center"/>
    </xf>
    <xf numFmtId="176" fontId="3" fillId="0" borderId="0" xfId="0" applyNumberFormat="1" applyFont="1" applyFill="1" applyBorder="1" applyAlignment="1">
      <alignment vertical="center"/>
    </xf>
    <xf numFmtId="0" fontId="1" fillId="0" borderId="1" xfId="0" applyFont="1" applyBorder="1" applyAlignment="1">
      <alignment horizontal="center" vertical="center"/>
    </xf>
    <xf numFmtId="176" fontId="1" fillId="0" borderId="20" xfId="0" applyNumberFormat="1" applyFont="1" applyFill="1" applyBorder="1" applyAlignment="1">
      <alignment vertical="center"/>
    </xf>
    <xf numFmtId="0" fontId="1" fillId="0" borderId="0"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right" vertical="center"/>
    </xf>
    <xf numFmtId="205" fontId="1" fillId="0" borderId="0" xfId="0" applyNumberFormat="1" applyFont="1" applyBorder="1" applyAlignment="1">
      <alignment horizontal="right" vertical="center"/>
    </xf>
    <xf numFmtId="205" fontId="1" fillId="0" borderId="35" xfId="0" applyNumberFormat="1" applyFont="1" applyBorder="1" applyAlignment="1">
      <alignment horizontal="right" vertical="center"/>
    </xf>
    <xf numFmtId="0" fontId="1" fillId="0" borderId="25" xfId="0" applyFont="1" applyBorder="1" applyAlignment="1">
      <alignment horizontal="distributed" vertical="center"/>
    </xf>
    <xf numFmtId="0" fontId="1" fillId="0" borderId="24" xfId="0" applyFont="1" applyBorder="1" applyAlignment="1">
      <alignment horizontal="distributed" vertical="center"/>
    </xf>
    <xf numFmtId="0" fontId="3" fillId="0" borderId="25" xfId="0" applyFont="1" applyBorder="1" applyAlignment="1">
      <alignment horizontal="distributed" vertical="center"/>
    </xf>
    <xf numFmtId="203" fontId="3" fillId="0" borderId="0" xfId="0" applyNumberFormat="1" applyFont="1" applyFill="1" applyBorder="1" applyAlignment="1">
      <alignment vertical="center"/>
    </xf>
    <xf numFmtId="0" fontId="3" fillId="0" borderId="90" xfId="0" applyFont="1" applyFill="1" applyBorder="1" applyAlignment="1">
      <alignment horizontal="right" vertical="center"/>
    </xf>
    <xf numFmtId="188" fontId="1" fillId="0" borderId="90" xfId="0" quotePrefix="1" applyNumberFormat="1" applyFont="1" applyFill="1" applyBorder="1" applyAlignment="1">
      <alignment horizontal="right" vertical="center"/>
    </xf>
    <xf numFmtId="176" fontId="1" fillId="0" borderId="0" xfId="0" applyNumberFormat="1" applyFont="1" applyFill="1" applyBorder="1" applyAlignment="1">
      <alignment horizontal="right" vertical="center"/>
    </xf>
    <xf numFmtId="176" fontId="1" fillId="0" borderId="5" xfId="0" applyNumberFormat="1" applyFont="1" applyBorder="1" applyAlignment="1">
      <alignment horizontal="right" vertical="center"/>
    </xf>
    <xf numFmtId="0" fontId="1" fillId="0" borderId="19" xfId="0" applyFont="1" applyBorder="1" applyAlignment="1">
      <alignment horizontal="center" vertical="center"/>
    </xf>
    <xf numFmtId="176" fontId="1" fillId="0" borderId="5" xfId="0" applyNumberFormat="1" applyFont="1" applyBorder="1" applyAlignment="1">
      <alignment vertical="center"/>
    </xf>
    <xf numFmtId="211" fontId="1" fillId="0" borderId="0" xfId="0" applyNumberFormat="1" applyFont="1" applyBorder="1" applyAlignment="1">
      <alignment horizontal="right" vertical="center"/>
    </xf>
    <xf numFmtId="197" fontId="1" fillId="0" borderId="9" xfId="0" applyNumberFormat="1" applyFont="1" applyFill="1" applyBorder="1" applyAlignment="1">
      <alignment vertical="center"/>
    </xf>
    <xf numFmtId="197" fontId="1" fillId="0" borderId="0" xfId="0" applyNumberFormat="1" applyFont="1" applyFill="1" applyBorder="1" applyAlignment="1">
      <alignment vertical="center"/>
    </xf>
    <xf numFmtId="197" fontId="3" fillId="0" borderId="0" xfId="0" applyNumberFormat="1" applyFont="1" applyFill="1" applyBorder="1" applyAlignment="1">
      <alignment vertical="center"/>
    </xf>
    <xf numFmtId="197" fontId="1" fillId="0" borderId="20" xfId="0" applyNumberFormat="1" applyFont="1" applyFill="1" applyBorder="1" applyAlignment="1">
      <alignment vertical="center"/>
    </xf>
    <xf numFmtId="185" fontId="1" fillId="0" borderId="35" xfId="0" applyNumberFormat="1" applyFont="1" applyFill="1" applyBorder="1" applyAlignment="1">
      <alignment horizontal="right" vertical="center"/>
    </xf>
    <xf numFmtId="0" fontId="1" fillId="0" borderId="19" xfId="0" applyFont="1" applyBorder="1" applyAlignment="1">
      <alignment horizontal="center" vertical="center"/>
    </xf>
    <xf numFmtId="205" fontId="1" fillId="0" borderId="0" xfId="0" applyNumberFormat="1" applyFont="1" applyBorder="1" applyAlignment="1">
      <alignment horizontal="right" vertical="center"/>
    </xf>
    <xf numFmtId="205" fontId="1" fillId="0" borderId="35" xfId="0" applyNumberFormat="1" applyFont="1" applyBorder="1" applyAlignment="1">
      <alignment horizontal="right" vertical="center"/>
    </xf>
    <xf numFmtId="176" fontId="1" fillId="0" borderId="0" xfId="0" applyNumberFormat="1" applyFont="1" applyBorder="1" applyAlignment="1">
      <alignment vertical="center"/>
    </xf>
    <xf numFmtId="176" fontId="3" fillId="0" borderId="0" xfId="0" applyNumberFormat="1" applyFont="1" applyBorder="1" applyAlignment="1">
      <alignment vertical="center"/>
    </xf>
    <xf numFmtId="0" fontId="1" fillId="0" borderId="26" xfId="0" applyFont="1" applyBorder="1" applyAlignment="1">
      <alignment horizontal="center" vertical="center"/>
    </xf>
    <xf numFmtId="180" fontId="1" fillId="0" borderId="0" xfId="0" applyNumberFormat="1" applyFont="1" applyBorder="1" applyAlignment="1">
      <alignment horizontal="right" vertical="center"/>
    </xf>
    <xf numFmtId="179" fontId="1" fillId="0" borderId="0" xfId="0" applyNumberFormat="1" applyFont="1" applyBorder="1" applyAlignment="1">
      <alignment horizontal="right" vertical="center"/>
    </xf>
    <xf numFmtId="0" fontId="1" fillId="0" borderId="1" xfId="0" applyFont="1" applyBorder="1" applyAlignment="1">
      <alignment horizontal="center" vertical="center"/>
    </xf>
    <xf numFmtId="0" fontId="1" fillId="0" borderId="60" xfId="0" applyFont="1" applyBorder="1" applyAlignment="1">
      <alignment horizontal="center" vertical="center"/>
    </xf>
    <xf numFmtId="0" fontId="1" fillId="0" borderId="16" xfId="0" applyFont="1" applyBorder="1" applyAlignment="1">
      <alignment horizontal="center" vertical="center"/>
    </xf>
    <xf numFmtId="0" fontId="1" fillId="0" borderId="0" xfId="0" applyFont="1" applyAlignment="1">
      <alignment horizontal="left" vertical="center"/>
    </xf>
    <xf numFmtId="0" fontId="1" fillId="0" borderId="0"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205" fontId="1" fillId="0" borderId="0" xfId="0" applyNumberFormat="1" applyFont="1" applyBorder="1" applyAlignment="1">
      <alignment horizontal="right" vertical="center"/>
    </xf>
    <xf numFmtId="205" fontId="1" fillId="0" borderId="35" xfId="0" applyNumberFormat="1" applyFont="1" applyBorder="1" applyAlignment="1">
      <alignment horizontal="right" vertical="center"/>
    </xf>
    <xf numFmtId="176" fontId="3" fillId="0" borderId="0" xfId="0" applyNumberFormat="1" applyFont="1" applyBorder="1" applyAlignment="1">
      <alignment vertical="center"/>
    </xf>
    <xf numFmtId="176" fontId="1" fillId="0" borderId="0" xfId="0" applyNumberFormat="1" applyFont="1" applyBorder="1" applyAlignment="1">
      <alignment vertical="center"/>
    </xf>
    <xf numFmtId="0" fontId="1" fillId="0" borderId="26" xfId="0" applyFont="1" applyBorder="1" applyAlignment="1">
      <alignment horizontal="center" vertical="center"/>
    </xf>
    <xf numFmtId="176" fontId="1" fillId="0" borderId="20" xfId="0" applyNumberFormat="1" applyFont="1" applyBorder="1" applyAlignment="1">
      <alignment vertical="center"/>
    </xf>
    <xf numFmtId="180" fontId="1" fillId="0" borderId="0" xfId="0" applyNumberFormat="1" applyFont="1" applyBorder="1" applyAlignment="1">
      <alignment horizontal="right" vertical="center"/>
    </xf>
    <xf numFmtId="179" fontId="1" fillId="0" borderId="0" xfId="0" applyNumberFormat="1" applyFont="1" applyBorder="1" applyAlignment="1">
      <alignment horizontal="right" vertical="center"/>
    </xf>
    <xf numFmtId="0" fontId="1" fillId="0" borderId="33" xfId="0" applyFont="1" applyBorder="1" applyAlignment="1">
      <alignment horizontal="center" vertical="center"/>
    </xf>
    <xf numFmtId="179" fontId="1" fillId="0" borderId="19" xfId="0" applyNumberFormat="1" applyFont="1" applyBorder="1" applyAlignment="1">
      <alignment horizontal="center" vertical="center"/>
    </xf>
    <xf numFmtId="179" fontId="1" fillId="0" borderId="13" xfId="0" applyNumberFormat="1" applyFont="1" applyBorder="1" applyAlignment="1">
      <alignment horizontal="center" vertical="center"/>
    </xf>
    <xf numFmtId="0" fontId="1" fillId="0" borderId="4" xfId="0" applyFont="1" applyBorder="1" applyAlignment="1">
      <alignment horizontal="center" vertical="center"/>
    </xf>
    <xf numFmtId="0" fontId="1" fillId="0" borderId="12" xfId="0" applyFont="1" applyBorder="1" applyAlignment="1">
      <alignment horizontal="center" vertical="center"/>
    </xf>
    <xf numFmtId="0" fontId="1" fillId="0" borderId="0" xfId="0" applyFont="1" applyBorder="1" applyAlignment="1">
      <alignment horizontal="center" vertical="center"/>
    </xf>
    <xf numFmtId="176" fontId="1" fillId="0" borderId="0" xfId="0" applyNumberFormat="1" applyFont="1" applyFill="1" applyBorder="1" applyAlignment="1">
      <alignment vertical="center"/>
    </xf>
    <xf numFmtId="0" fontId="1" fillId="0" borderId="10" xfId="0" applyFont="1" applyBorder="1" applyAlignment="1">
      <alignment horizontal="center" vertical="center"/>
    </xf>
    <xf numFmtId="0" fontId="1" fillId="0" borderId="5" xfId="0" applyFont="1" applyBorder="1" applyAlignment="1">
      <alignment horizontal="center" vertical="center"/>
    </xf>
    <xf numFmtId="0" fontId="1" fillId="0" borderId="3" xfId="0" applyFont="1" applyBorder="1" applyAlignment="1">
      <alignment horizontal="center" vertical="center"/>
    </xf>
    <xf numFmtId="176" fontId="1" fillId="0" borderId="0" xfId="0" applyNumberFormat="1" applyFont="1" applyBorder="1" applyAlignment="1">
      <alignment vertical="center"/>
    </xf>
    <xf numFmtId="176" fontId="1" fillId="0" borderId="21" xfId="0" applyNumberFormat="1" applyFont="1" applyBorder="1" applyAlignment="1">
      <alignment vertical="center"/>
    </xf>
    <xf numFmtId="176" fontId="1" fillId="0" borderId="20" xfId="0" applyNumberFormat="1" applyFont="1" applyBorder="1" applyAlignment="1">
      <alignment vertical="center"/>
    </xf>
    <xf numFmtId="177" fontId="1" fillId="0" borderId="0" xfId="0" applyNumberFormat="1" applyFont="1" applyBorder="1" applyAlignment="1">
      <alignment vertical="center"/>
    </xf>
    <xf numFmtId="0" fontId="1" fillId="0" borderId="23" xfId="0" applyFont="1" applyBorder="1" applyAlignment="1">
      <alignment vertical="center"/>
    </xf>
    <xf numFmtId="177" fontId="3" fillId="0" borderId="0" xfId="0" applyNumberFormat="1" applyFont="1" applyBorder="1" applyAlignment="1">
      <alignment vertical="center"/>
    </xf>
    <xf numFmtId="0" fontId="1" fillId="0" borderId="28" xfId="0" applyFont="1" applyBorder="1" applyAlignment="1">
      <alignment horizontal="center" vertical="center"/>
    </xf>
    <xf numFmtId="0" fontId="1" fillId="0" borderId="19" xfId="0" applyFont="1" applyBorder="1" applyAlignment="1">
      <alignment horizontal="justify" vertical="center"/>
    </xf>
    <xf numFmtId="206" fontId="1" fillId="0" borderId="35" xfId="0" applyNumberFormat="1" applyFont="1" applyFill="1" applyBorder="1" applyAlignment="1">
      <alignment horizontal="right" vertical="center"/>
    </xf>
    <xf numFmtId="206" fontId="1" fillId="0" borderId="0" xfId="0" applyNumberFormat="1" applyFont="1" applyFill="1" applyBorder="1" applyAlignment="1">
      <alignment horizontal="right" vertical="center"/>
    </xf>
    <xf numFmtId="0" fontId="1" fillId="0" borderId="9" xfId="0" applyFont="1" applyBorder="1" applyAlignment="1">
      <alignment horizontal="center" vertical="center"/>
    </xf>
    <xf numFmtId="206" fontId="1" fillId="0" borderId="0" xfId="0" applyNumberFormat="1" applyFont="1" applyFill="1" applyBorder="1" applyAlignment="1">
      <alignment horizontal="right" vertical="center"/>
    </xf>
    <xf numFmtId="0" fontId="1" fillId="0" borderId="105" xfId="0" applyFont="1" applyFill="1" applyBorder="1" applyAlignment="1">
      <alignment horizontal="distributed" vertical="center"/>
    </xf>
    <xf numFmtId="41" fontId="1" fillId="0" borderId="0" xfId="4" applyNumberFormat="1" applyFont="1" applyFill="1" applyBorder="1" applyAlignment="1">
      <alignment vertical="center"/>
    </xf>
    <xf numFmtId="0" fontId="1" fillId="0" borderId="1" xfId="0" applyFont="1" applyFill="1" applyBorder="1" applyAlignment="1">
      <alignment horizontal="center" vertical="center"/>
    </xf>
    <xf numFmtId="0" fontId="1" fillId="0" borderId="0" xfId="0" applyFont="1" applyFill="1" applyBorder="1" applyAlignment="1">
      <alignment vertical="center"/>
    </xf>
    <xf numFmtId="177" fontId="1" fillId="0" borderId="0" xfId="0" applyNumberFormat="1" applyFont="1" applyBorder="1" applyAlignment="1">
      <alignment vertical="center"/>
    </xf>
    <xf numFmtId="177" fontId="1" fillId="0" borderId="20" xfId="0" applyNumberFormat="1" applyFont="1" applyBorder="1" applyAlignment="1">
      <alignment vertical="center"/>
    </xf>
    <xf numFmtId="181" fontId="1" fillId="0" borderId="106" xfId="2" applyNumberFormat="1" applyFont="1" applyFill="1" applyBorder="1" applyAlignment="1">
      <alignment horizontal="right" vertical="center"/>
    </xf>
    <xf numFmtId="0" fontId="1" fillId="0" borderId="13" xfId="0" applyFont="1" applyFill="1" applyBorder="1" applyAlignment="1">
      <alignment vertical="center"/>
    </xf>
    <xf numFmtId="176" fontId="1" fillId="0" borderId="13" xfId="0" applyNumberFormat="1" applyFont="1" applyFill="1" applyBorder="1" applyAlignment="1">
      <alignment vertical="center"/>
    </xf>
    <xf numFmtId="176" fontId="1" fillId="0" borderId="35" xfId="0" applyNumberFormat="1" applyFont="1" applyFill="1" applyBorder="1" applyAlignment="1">
      <alignment vertical="center"/>
    </xf>
    <xf numFmtId="198" fontId="1" fillId="0" borderId="0" xfId="0" applyNumberFormat="1" applyFont="1" applyFill="1" applyBorder="1" applyAlignment="1">
      <alignment vertical="center"/>
    </xf>
    <xf numFmtId="178" fontId="1" fillId="0" borderId="5" xfId="0" applyNumberFormat="1" applyFont="1" applyFill="1" applyBorder="1" applyAlignment="1">
      <alignment vertical="center"/>
    </xf>
    <xf numFmtId="178" fontId="1" fillId="0" borderId="0" xfId="0" applyNumberFormat="1" applyFont="1" applyFill="1" applyBorder="1" applyAlignment="1">
      <alignment vertical="center"/>
    </xf>
    <xf numFmtId="178" fontId="1" fillId="0" borderId="35" xfId="0" applyNumberFormat="1" applyFont="1" applyFill="1" applyBorder="1" applyAlignment="1">
      <alignment vertical="center"/>
    </xf>
    <xf numFmtId="182" fontId="1" fillId="0" borderId="5" xfId="0" applyNumberFormat="1" applyFont="1" applyFill="1" applyBorder="1" applyAlignment="1">
      <alignment vertical="center"/>
    </xf>
    <xf numFmtId="182" fontId="1" fillId="0" borderId="0" xfId="0" applyNumberFormat="1" applyFont="1" applyFill="1" applyBorder="1" applyAlignment="1">
      <alignment vertical="center"/>
    </xf>
    <xf numFmtId="182" fontId="1" fillId="0" borderId="35" xfId="0" applyNumberFormat="1" applyFont="1" applyFill="1" applyBorder="1" applyAlignment="1">
      <alignment vertical="center"/>
    </xf>
    <xf numFmtId="176" fontId="1" fillId="0" borderId="21" xfId="0" applyNumberFormat="1" applyFont="1" applyFill="1" applyBorder="1" applyAlignment="1">
      <alignment vertical="center"/>
    </xf>
    <xf numFmtId="176" fontId="1" fillId="0" borderId="37" xfId="0" applyNumberFormat="1" applyFont="1" applyFill="1" applyBorder="1" applyAlignment="1">
      <alignment vertical="center"/>
    </xf>
    <xf numFmtId="0" fontId="1" fillId="0" borderId="20" xfId="0" applyFont="1" applyFill="1" applyBorder="1" applyAlignment="1">
      <alignment vertical="center"/>
    </xf>
    <xf numFmtId="0" fontId="1" fillId="0" borderId="37" xfId="0" applyFont="1" applyFill="1" applyBorder="1" applyAlignment="1">
      <alignment vertical="center"/>
    </xf>
    <xf numFmtId="0" fontId="1" fillId="0" borderId="42" xfId="0" applyFont="1" applyFill="1" applyBorder="1" applyAlignment="1">
      <alignment vertical="center"/>
    </xf>
    <xf numFmtId="41" fontId="1" fillId="0" borderId="106" xfId="0" applyNumberFormat="1" applyFont="1" applyBorder="1" applyAlignment="1">
      <alignment horizontal="right" vertical="center" shrinkToFit="1"/>
    </xf>
    <xf numFmtId="0" fontId="1" fillId="0" borderId="107" xfId="0" applyFont="1" applyBorder="1" applyAlignment="1">
      <alignment horizontal="distributed" vertical="center"/>
    </xf>
    <xf numFmtId="0" fontId="1" fillId="0" borderId="66" xfId="0" applyFont="1" applyBorder="1" applyAlignment="1">
      <alignment horizontal="distributed" vertical="center"/>
    </xf>
    <xf numFmtId="0" fontId="1" fillId="0" borderId="66" xfId="0" applyFont="1" applyBorder="1" applyAlignment="1">
      <alignment horizontal="justify" vertical="center"/>
    </xf>
    <xf numFmtId="0" fontId="1" fillId="0" borderId="66" xfId="0" applyFont="1" applyFill="1" applyBorder="1" applyAlignment="1">
      <alignment vertical="center" shrinkToFit="1"/>
    </xf>
    <xf numFmtId="0" fontId="1" fillId="0" borderId="93" xfId="0" applyFont="1" applyFill="1" applyBorder="1" applyAlignment="1">
      <alignment vertical="center" wrapText="1"/>
    </xf>
    <xf numFmtId="0" fontId="1" fillId="0" borderId="103" xfId="0" applyFont="1" applyBorder="1" applyAlignment="1">
      <alignment horizontal="right" vertical="center"/>
    </xf>
    <xf numFmtId="0" fontId="1" fillId="0" borderId="90" xfId="0" applyFont="1" applyBorder="1" applyAlignment="1">
      <alignment horizontal="right" vertical="center"/>
    </xf>
    <xf numFmtId="190" fontId="1" fillId="0" borderId="90" xfId="0" applyNumberFormat="1" applyFont="1" applyBorder="1" applyAlignment="1">
      <alignment horizontal="right" vertical="center"/>
    </xf>
    <xf numFmtId="0" fontId="3" fillId="0" borderId="90" xfId="0" applyFont="1" applyBorder="1" applyAlignment="1">
      <alignment horizontal="right" vertical="center"/>
    </xf>
    <xf numFmtId="0" fontId="1" fillId="0" borderId="91" xfId="0" applyFont="1" applyBorder="1" applyAlignment="1">
      <alignment horizontal="right" vertical="center"/>
    </xf>
    <xf numFmtId="0" fontId="0" fillId="0" borderId="0" xfId="0">
      <alignment vertical="center"/>
    </xf>
    <xf numFmtId="176" fontId="11" fillId="0" borderId="0" xfId="6" applyNumberFormat="1"/>
    <xf numFmtId="3" fontId="0" fillId="0" borderId="0" xfId="0" applyNumberFormat="1">
      <alignment vertical="center"/>
    </xf>
    <xf numFmtId="0" fontId="1" fillId="0" borderId="67" xfId="0" applyFont="1" applyBorder="1" applyAlignment="1">
      <alignment vertical="center"/>
    </xf>
    <xf numFmtId="190" fontId="1" fillId="0" borderId="108" xfId="0" applyNumberFormat="1" applyFont="1" applyBorder="1" applyAlignment="1">
      <alignment vertical="center" shrinkToFit="1"/>
    </xf>
    <xf numFmtId="190" fontId="1" fillId="0" borderId="22" xfId="0" applyNumberFormat="1" applyFont="1" applyBorder="1" applyAlignment="1">
      <alignment vertical="center"/>
    </xf>
    <xf numFmtId="190" fontId="3" fillId="0" borderId="22" xfId="0" applyNumberFormat="1" applyFont="1" applyBorder="1" applyAlignment="1">
      <alignment vertical="center"/>
    </xf>
    <xf numFmtId="190" fontId="1" fillId="0" borderId="22" xfId="0" applyNumberFormat="1" applyFont="1" applyBorder="1" applyAlignment="1">
      <alignment horizontal="right" vertical="center"/>
    </xf>
    <xf numFmtId="190" fontId="1" fillId="0" borderId="109" xfId="0" applyNumberFormat="1" applyFont="1" applyBorder="1" applyAlignment="1">
      <alignment vertical="center"/>
    </xf>
    <xf numFmtId="0" fontId="1" fillId="0" borderId="0" xfId="0" applyFont="1" applyFill="1" applyAlignment="1">
      <alignment horizontal="right"/>
    </xf>
    <xf numFmtId="0" fontId="1" fillId="0" borderId="19" xfId="0" applyNumberFormat="1" applyFont="1" applyFill="1" applyBorder="1" applyAlignment="1">
      <alignment vertical="center"/>
    </xf>
    <xf numFmtId="176" fontId="1" fillId="0" borderId="110" xfId="2" applyNumberFormat="1" applyFont="1" applyFill="1" applyBorder="1" applyAlignment="1">
      <alignment vertical="center"/>
    </xf>
    <xf numFmtId="176" fontId="1" fillId="0" borderId="95" xfId="2" applyNumberFormat="1" applyFont="1" applyFill="1" applyBorder="1" applyAlignment="1">
      <alignment vertical="center"/>
    </xf>
    <xf numFmtId="0" fontId="1" fillId="0" borderId="104"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19" xfId="0" applyNumberFormat="1" applyFont="1" applyFill="1" applyBorder="1" applyAlignment="1">
      <alignment horizontal="center" vertical="center"/>
    </xf>
    <xf numFmtId="0" fontId="1" fillId="0" borderId="13" xfId="0" applyNumberFormat="1" applyFont="1" applyFill="1" applyBorder="1" applyAlignment="1">
      <alignment horizontal="center" vertical="center"/>
    </xf>
    <xf numFmtId="49" fontId="4" fillId="0" borderId="19" xfId="4" applyNumberFormat="1" applyFont="1" applyFill="1" applyBorder="1" applyAlignment="1">
      <alignment vertical="center"/>
    </xf>
    <xf numFmtId="213" fontId="24" fillId="0" borderId="0" xfId="0" applyNumberFormat="1" applyFont="1" applyFill="1" applyBorder="1" applyAlignment="1">
      <alignment vertical="center"/>
    </xf>
    <xf numFmtId="0" fontId="26" fillId="0" borderId="0" xfId="6" applyFont="1"/>
    <xf numFmtId="186" fontId="1" fillId="0" borderId="5" xfId="4" applyNumberFormat="1" applyFont="1" applyFill="1" applyBorder="1" applyAlignment="1">
      <alignment horizontal="right" vertical="center"/>
    </xf>
    <xf numFmtId="186" fontId="1" fillId="0" borderId="5" xfId="0" applyNumberFormat="1" applyFont="1" applyFill="1" applyBorder="1" applyAlignment="1">
      <alignment horizontal="center" vertical="center"/>
    </xf>
    <xf numFmtId="186" fontId="1" fillId="0" borderId="0" xfId="0" applyNumberFormat="1" applyFont="1" applyFill="1" applyBorder="1" applyAlignment="1">
      <alignment horizontal="center" vertical="center"/>
    </xf>
    <xf numFmtId="186" fontId="1" fillId="0" borderId="5" xfId="4" applyNumberFormat="1" applyFont="1" applyFill="1" applyBorder="1" applyAlignment="1">
      <alignment horizontal="center" vertical="center"/>
    </xf>
    <xf numFmtId="186" fontId="1" fillId="0" borderId="0" xfId="4" applyNumberFormat="1" applyFont="1" applyFill="1" applyBorder="1" applyAlignment="1">
      <alignment horizontal="center" vertical="center"/>
    </xf>
    <xf numFmtId="0" fontId="1" fillId="0" borderId="121" xfId="0" applyFont="1" applyFill="1" applyBorder="1" applyAlignment="1">
      <alignment horizontal="center" vertical="center"/>
    </xf>
    <xf numFmtId="186" fontId="1" fillId="0" borderId="0" xfId="4" applyNumberFormat="1" applyFont="1" applyFill="1" applyBorder="1" applyAlignment="1">
      <alignment horizontal="right" vertical="center"/>
    </xf>
    <xf numFmtId="212" fontId="1" fillId="0" borderId="0" xfId="0" applyNumberFormat="1" applyFont="1" applyFill="1" applyBorder="1" applyAlignment="1">
      <alignment vertical="center"/>
    </xf>
    <xf numFmtId="212" fontId="1" fillId="0" borderId="35" xfId="0" applyNumberFormat="1" applyFont="1" applyFill="1" applyBorder="1" applyAlignment="1">
      <alignment vertical="center"/>
    </xf>
    <xf numFmtId="0" fontId="1" fillId="0" borderId="0" xfId="6" applyFont="1" applyBorder="1" applyAlignment="1">
      <alignment horizontal="center" vertical="center"/>
    </xf>
    <xf numFmtId="0" fontId="1" fillId="0" borderId="0" xfId="6" applyFont="1" applyAlignment="1">
      <alignment horizontal="center" vertical="center"/>
    </xf>
    <xf numFmtId="0" fontId="4" fillId="0" borderId="0" xfId="6" applyFont="1" applyBorder="1" applyAlignment="1">
      <alignment horizontal="center" vertical="center"/>
    </xf>
    <xf numFmtId="0" fontId="1" fillId="0" borderId="62" xfId="5" applyFont="1" applyFill="1" applyBorder="1" applyAlignment="1">
      <alignment horizontal="center" vertical="center"/>
    </xf>
    <xf numFmtId="0" fontId="1" fillId="0" borderId="63" xfId="5" applyFont="1" applyFill="1" applyBorder="1" applyAlignment="1">
      <alignment horizontal="center" vertical="center"/>
    </xf>
    <xf numFmtId="0" fontId="1" fillId="0" borderId="61" xfId="5" applyFont="1" applyFill="1" applyBorder="1" applyAlignment="1">
      <alignment horizontal="center" vertical="center"/>
    </xf>
    <xf numFmtId="179" fontId="1" fillId="0" borderId="0" xfId="5" applyNumberFormat="1" applyFont="1" applyFill="1" applyBorder="1" applyAlignment="1">
      <alignment horizontal="right" vertical="center"/>
    </xf>
    <xf numFmtId="0" fontId="1" fillId="0" borderId="66" xfId="5" applyFont="1" applyFill="1" applyBorder="1" applyAlignment="1">
      <alignment horizontal="center" vertical="center"/>
    </xf>
    <xf numFmtId="0" fontId="1" fillId="0" borderId="17"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0" xfId="0" applyFont="1" applyFill="1" applyBorder="1" applyAlignment="1">
      <alignment horizontal="right" vertical="center"/>
    </xf>
    <xf numFmtId="0" fontId="1" fillId="0" borderId="16"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0" xfId="0" applyFont="1" applyFill="1" applyBorder="1" applyAlignment="1">
      <alignment horizontal="distributed" vertical="center"/>
    </xf>
    <xf numFmtId="0" fontId="1" fillId="0" borderId="4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18" xfId="0" applyFont="1" applyFill="1" applyBorder="1" applyAlignment="1">
      <alignment horizontal="center" vertical="center"/>
    </xf>
    <xf numFmtId="176" fontId="1" fillId="0" borderId="0" xfId="0" applyNumberFormat="1" applyFont="1" applyFill="1" applyBorder="1" applyAlignment="1">
      <alignment vertical="center"/>
    </xf>
    <xf numFmtId="200" fontId="1" fillId="0" borderId="5" xfId="0" applyNumberFormat="1" applyFont="1" applyFill="1" applyBorder="1" applyAlignment="1">
      <alignment vertical="center"/>
    </xf>
    <xf numFmtId="176" fontId="1" fillId="0" borderId="20" xfId="0" applyNumberFormat="1" applyFont="1" applyFill="1" applyBorder="1" applyAlignment="1">
      <alignment vertical="center"/>
    </xf>
    <xf numFmtId="176" fontId="3" fillId="0" borderId="0" xfId="0" applyNumberFormat="1" applyFont="1" applyFill="1" applyBorder="1" applyAlignment="1">
      <alignment vertical="center"/>
    </xf>
    <xf numFmtId="176" fontId="1" fillId="0" borderId="9" xfId="0" applyNumberFormat="1" applyFont="1" applyFill="1" applyBorder="1" applyAlignment="1">
      <alignment vertical="center"/>
    </xf>
    <xf numFmtId="0" fontId="1" fillId="0" borderId="5"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28" xfId="0" applyFont="1" applyFill="1" applyBorder="1" applyAlignment="1">
      <alignment horizontal="center" vertical="center"/>
    </xf>
    <xf numFmtId="177" fontId="1" fillId="0" borderId="35" xfId="0" applyNumberFormat="1" applyFont="1" applyFill="1" applyBorder="1" applyAlignment="1">
      <alignment vertical="center"/>
    </xf>
    <xf numFmtId="177" fontId="3" fillId="0" borderId="35" xfId="0" applyNumberFormat="1" applyFont="1" applyFill="1" applyBorder="1" applyAlignment="1">
      <alignment vertical="center"/>
    </xf>
    <xf numFmtId="177" fontId="1" fillId="0" borderId="20" xfId="5" applyNumberFormat="1" applyFont="1" applyFill="1" applyBorder="1" applyAlignment="1">
      <alignment vertical="center"/>
    </xf>
    <xf numFmtId="0" fontId="11" fillId="0" borderId="0" xfId="5" applyFont="1" applyFill="1" applyAlignment="1">
      <alignment horizontal="centerContinuous" vertical="center"/>
    </xf>
    <xf numFmtId="0" fontId="11" fillId="0" borderId="0" xfId="5" applyFont="1" applyFill="1" applyAlignment="1">
      <alignment vertical="center"/>
    </xf>
    <xf numFmtId="0" fontId="1" fillId="0" borderId="93" xfId="5" applyFont="1" applyFill="1" applyBorder="1" applyAlignment="1">
      <alignment horizontal="center" vertical="center"/>
    </xf>
    <xf numFmtId="176" fontId="1" fillId="0" borderId="20" xfId="2" applyNumberFormat="1" applyFont="1" applyFill="1" applyBorder="1" applyAlignment="1">
      <alignment vertical="center"/>
    </xf>
    <xf numFmtId="181" fontId="1" fillId="0" borderId="20" xfId="2" applyNumberFormat="1" applyFont="1" applyFill="1" applyBorder="1" applyAlignment="1">
      <alignment vertical="center"/>
    </xf>
    <xf numFmtId="179" fontId="1" fillId="0" borderId="20" xfId="5" applyNumberFormat="1" applyFont="1" applyFill="1" applyBorder="1" applyAlignment="1">
      <alignment vertical="center"/>
    </xf>
    <xf numFmtId="181" fontId="1" fillId="0" borderId="20" xfId="2" applyNumberFormat="1" applyFont="1" applyFill="1" applyBorder="1" applyAlignment="1">
      <alignment horizontal="right" vertical="center"/>
    </xf>
    <xf numFmtId="181" fontId="1" fillId="0" borderId="42" xfId="2" applyNumberFormat="1" applyFont="1" applyFill="1" applyBorder="1" applyAlignment="1">
      <alignment horizontal="right" vertical="center"/>
    </xf>
    <xf numFmtId="0" fontId="1" fillId="0" borderId="0" xfId="5" applyFont="1" applyFill="1" applyBorder="1" applyAlignment="1">
      <alignment horizontal="center" vertical="center"/>
    </xf>
    <xf numFmtId="0" fontId="11" fillId="0" borderId="0" xfId="0" applyFont="1" applyFill="1" applyAlignment="1">
      <alignment vertical="center"/>
    </xf>
    <xf numFmtId="0" fontId="11" fillId="0" borderId="0" xfId="0" applyFont="1" applyFill="1">
      <alignment vertical="center"/>
    </xf>
    <xf numFmtId="176" fontId="11" fillId="0" borderId="0" xfId="0" applyNumberFormat="1" applyFont="1" applyFill="1">
      <alignment vertical="center"/>
    </xf>
    <xf numFmtId="0" fontId="1" fillId="0" borderId="0" xfId="0" applyFont="1" applyFill="1" applyBorder="1">
      <alignment vertical="center"/>
    </xf>
    <xf numFmtId="0" fontId="11" fillId="0" borderId="0" xfId="0" applyFont="1" applyFill="1" applyBorder="1" applyAlignment="1">
      <alignment vertical="center"/>
    </xf>
    <xf numFmtId="0" fontId="11" fillId="0" borderId="0" xfId="0" applyFont="1" applyFill="1" applyBorder="1">
      <alignment vertical="center"/>
    </xf>
    <xf numFmtId="179" fontId="1" fillId="0" borderId="0" xfId="0" applyNumberFormat="1" applyFont="1" applyFill="1" applyBorder="1" applyAlignment="1">
      <alignment horizontal="right" vertical="center"/>
    </xf>
    <xf numFmtId="194" fontId="1" fillId="0" borderId="5" xfId="0" applyNumberFormat="1" applyFont="1" applyFill="1" applyBorder="1" applyAlignment="1">
      <alignment vertical="center"/>
    </xf>
    <xf numFmtId="194" fontId="1" fillId="0" borderId="0" xfId="0" applyNumberFormat="1" applyFont="1" applyFill="1" applyBorder="1" applyAlignment="1">
      <alignment vertical="center"/>
    </xf>
    <xf numFmtId="194" fontId="1" fillId="0" borderId="35" xfId="0" applyNumberFormat="1" applyFont="1" applyFill="1" applyBorder="1" applyAlignment="1">
      <alignment vertical="center"/>
    </xf>
    <xf numFmtId="211" fontId="1" fillId="0" borderId="0" xfId="0" applyNumberFormat="1" applyFont="1" applyFill="1" applyBorder="1" applyAlignment="1">
      <alignment horizontal="right" vertical="center"/>
    </xf>
    <xf numFmtId="3" fontId="7" fillId="0" borderId="0" xfId="0" applyNumberFormat="1" applyFont="1" applyFill="1">
      <alignment vertical="center"/>
    </xf>
    <xf numFmtId="3" fontId="11" fillId="0" borderId="0" xfId="0" applyNumberFormat="1" applyFont="1" applyFill="1">
      <alignment vertical="center"/>
    </xf>
    <xf numFmtId="3" fontId="7" fillId="0" borderId="0" xfId="0" applyNumberFormat="1" applyFont="1" applyFill="1" applyAlignment="1">
      <alignment horizontal="right" vertical="center"/>
    </xf>
    <xf numFmtId="186" fontId="1" fillId="0" borderId="0" xfId="0" applyNumberFormat="1" applyFont="1" applyFill="1" applyBorder="1">
      <alignment vertical="center"/>
    </xf>
    <xf numFmtId="208" fontId="1" fillId="0" borderId="35" xfId="0" applyNumberFormat="1" applyFont="1" applyFill="1" applyBorder="1">
      <alignment vertical="center"/>
    </xf>
    <xf numFmtId="41" fontId="1" fillId="0" borderId="0" xfId="0" applyNumberFormat="1" applyFont="1" applyFill="1" applyBorder="1">
      <alignment vertical="center"/>
    </xf>
    <xf numFmtId="3" fontId="1" fillId="0" borderId="0" xfId="0" applyNumberFormat="1" applyFont="1" applyFill="1">
      <alignment vertical="center"/>
    </xf>
    <xf numFmtId="3" fontId="7" fillId="0" borderId="31" xfId="0" applyNumberFormat="1" applyFont="1" applyFill="1" applyBorder="1" applyAlignment="1">
      <alignment horizontal="right" vertical="center"/>
    </xf>
    <xf numFmtId="176" fontId="1" fillId="0" borderId="9" xfId="0" applyNumberFormat="1" applyFont="1" applyFill="1" applyBorder="1">
      <alignment vertical="center"/>
    </xf>
    <xf numFmtId="186" fontId="1" fillId="0" borderId="9" xfId="0" applyNumberFormat="1" applyFont="1" applyFill="1" applyBorder="1">
      <alignment vertical="center"/>
    </xf>
    <xf numFmtId="208" fontId="1" fillId="0" borderId="34" xfId="0" applyNumberFormat="1" applyFont="1" applyFill="1" applyBorder="1">
      <alignment vertical="center"/>
    </xf>
    <xf numFmtId="0" fontId="1" fillId="0" borderId="54" xfId="0" applyFont="1" applyFill="1" applyBorder="1" applyAlignment="1">
      <alignment horizontal="distributed" vertical="center"/>
    </xf>
    <xf numFmtId="176" fontId="1" fillId="0" borderId="20" xfId="0" applyNumberFormat="1" applyFont="1" applyFill="1" applyBorder="1">
      <alignment vertical="center"/>
    </xf>
    <xf numFmtId="186" fontId="1" fillId="0" borderId="20" xfId="0" applyNumberFormat="1" applyFont="1" applyFill="1" applyBorder="1">
      <alignment vertical="center"/>
    </xf>
    <xf numFmtId="183" fontId="11" fillId="0" borderId="0" xfId="0" applyNumberFormat="1" applyFont="1" applyFill="1" applyAlignment="1">
      <alignment horizontal="right" vertical="center"/>
    </xf>
    <xf numFmtId="10" fontId="11" fillId="0" borderId="0" xfId="1" applyNumberFormat="1" applyFont="1" applyFill="1" applyBorder="1">
      <alignment vertical="center"/>
    </xf>
    <xf numFmtId="182" fontId="11" fillId="0" borderId="0" xfId="0" applyNumberFormat="1" applyFont="1" applyFill="1">
      <alignment vertical="center"/>
    </xf>
    <xf numFmtId="186" fontId="1" fillId="0" borderId="20" xfId="0" applyNumberFormat="1" applyFont="1" applyFill="1" applyBorder="1" applyAlignment="1">
      <alignment horizontal="right" vertical="center"/>
    </xf>
    <xf numFmtId="183" fontId="11" fillId="0" borderId="0" xfId="0" applyNumberFormat="1" applyFont="1" applyFill="1" applyAlignment="1">
      <alignment horizontal="right" vertical="center" indent="1"/>
    </xf>
    <xf numFmtId="184" fontId="11" fillId="0" borderId="0" xfId="0" applyNumberFormat="1" applyFont="1" applyFill="1" applyAlignment="1">
      <alignment horizontal="right" vertical="center" indent="1"/>
    </xf>
    <xf numFmtId="177" fontId="11" fillId="0" borderId="0" xfId="0" applyNumberFormat="1" applyFont="1" applyFill="1" applyAlignment="1">
      <alignment vertical="center"/>
    </xf>
    <xf numFmtId="183" fontId="11" fillId="0" borderId="0" xfId="0" applyNumberFormat="1" applyFont="1" applyFill="1" applyAlignment="1">
      <alignment horizontal="right" indent="1"/>
    </xf>
    <xf numFmtId="184" fontId="11" fillId="0" borderId="0" xfId="0" applyNumberFormat="1" applyFont="1" applyFill="1" applyAlignment="1">
      <alignment horizontal="right" indent="1"/>
    </xf>
    <xf numFmtId="177" fontId="11" fillId="0" borderId="0" xfId="0" applyNumberFormat="1" applyFont="1" applyFill="1">
      <alignment vertical="center"/>
    </xf>
    <xf numFmtId="0" fontId="1" fillId="0" borderId="24" xfId="0" applyFont="1" applyFill="1" applyBorder="1" applyAlignment="1">
      <alignment horizontal="center" vertical="center"/>
    </xf>
    <xf numFmtId="4" fontId="1" fillId="0" borderId="5" xfId="0" applyNumberFormat="1" applyFont="1" applyFill="1" applyBorder="1" applyAlignment="1">
      <alignment vertical="center"/>
    </xf>
    <xf numFmtId="186" fontId="1" fillId="0" borderId="9" xfId="0" applyNumberFormat="1" applyFont="1" applyFill="1" applyBorder="1" applyAlignment="1">
      <alignment horizontal="right" vertical="center"/>
    </xf>
    <xf numFmtId="0" fontId="1" fillId="0" borderId="120" xfId="0" applyFont="1" applyFill="1" applyBorder="1" applyAlignment="1">
      <alignment horizontal="center" vertical="center"/>
    </xf>
    <xf numFmtId="176" fontId="8" fillId="0" borderId="106" xfId="0" applyNumberFormat="1" applyFont="1" applyFill="1" applyBorder="1" applyAlignment="1">
      <alignment vertical="center"/>
    </xf>
    <xf numFmtId="176" fontId="1" fillId="0" borderId="106" xfId="0" applyNumberFormat="1" applyFont="1" applyFill="1" applyBorder="1" applyAlignment="1">
      <alignment vertical="center"/>
    </xf>
    <xf numFmtId="190" fontId="1" fillId="0" borderId="106" xfId="0" applyNumberFormat="1" applyFont="1" applyFill="1" applyBorder="1" applyAlignment="1">
      <alignment horizontal="right" vertical="center"/>
    </xf>
    <xf numFmtId="176" fontId="1" fillId="0" borderId="112" xfId="0" applyNumberFormat="1" applyFont="1" applyFill="1" applyBorder="1" applyAlignment="1">
      <alignment vertical="center"/>
    </xf>
    <xf numFmtId="212" fontId="1" fillId="0" borderId="20" xfId="0" applyNumberFormat="1" applyFont="1" applyFill="1" applyBorder="1" applyAlignment="1">
      <alignment vertical="center"/>
    </xf>
    <xf numFmtId="212" fontId="1" fillId="0" borderId="42" xfId="0" applyNumberFormat="1" applyFont="1" applyFill="1" applyBorder="1" applyAlignment="1">
      <alignment vertical="center"/>
    </xf>
    <xf numFmtId="186" fontId="1" fillId="0" borderId="9" xfId="0" applyNumberFormat="1" applyFont="1" applyFill="1" applyBorder="1" applyAlignment="1">
      <alignment vertical="center"/>
    </xf>
    <xf numFmtId="176" fontId="1" fillId="0" borderId="116" xfId="0" applyNumberFormat="1" applyFont="1" applyFill="1" applyBorder="1" applyAlignment="1">
      <alignment vertical="center"/>
    </xf>
    <xf numFmtId="176" fontId="1" fillId="0" borderId="111" xfId="0" applyNumberFormat="1" applyFont="1" applyFill="1" applyBorder="1" applyAlignment="1">
      <alignment vertical="center"/>
    </xf>
    <xf numFmtId="212" fontId="1" fillId="0" borderId="113" xfId="0" applyNumberFormat="1" applyFont="1" applyFill="1" applyBorder="1" applyAlignment="1">
      <alignment vertical="center"/>
    </xf>
    <xf numFmtId="193" fontId="1" fillId="0" borderId="35" xfId="4" applyNumberFormat="1" applyFont="1" applyFill="1" applyBorder="1" applyAlignment="1">
      <alignment vertical="center"/>
    </xf>
    <xf numFmtId="179" fontId="1" fillId="0" borderId="2" xfId="4" applyNumberFormat="1" applyFont="1" applyFill="1" applyBorder="1" applyAlignment="1">
      <alignment vertical="center"/>
    </xf>
    <xf numFmtId="179" fontId="1" fillId="0" borderId="9" xfId="4" applyNumberFormat="1" applyFont="1" applyFill="1" applyBorder="1" applyAlignment="1">
      <alignment vertical="center"/>
    </xf>
    <xf numFmtId="179" fontId="1" fillId="0" borderId="115" xfId="0" applyNumberFormat="1" applyFont="1" applyFill="1" applyBorder="1" applyAlignment="1">
      <alignment vertical="center"/>
    </xf>
    <xf numFmtId="179" fontId="1" fillId="0" borderId="116" xfId="0" applyNumberFormat="1" applyFont="1" applyFill="1" applyBorder="1" applyAlignment="1">
      <alignment vertical="center"/>
    </xf>
    <xf numFmtId="179" fontId="1" fillId="0" borderId="113" xfId="0" applyNumberFormat="1" applyFont="1" applyFill="1" applyBorder="1" applyAlignment="1">
      <alignment vertical="center"/>
    </xf>
    <xf numFmtId="179" fontId="1" fillId="0" borderId="0" xfId="0" applyNumberFormat="1" applyFont="1" applyFill="1" applyBorder="1" applyAlignment="1">
      <alignment vertical="center"/>
    </xf>
    <xf numFmtId="0" fontId="7" fillId="0" borderId="0" xfId="0" applyFont="1" applyFill="1" applyAlignment="1">
      <alignment vertical="center"/>
    </xf>
    <xf numFmtId="178" fontId="7" fillId="0" borderId="0" xfId="0" applyNumberFormat="1" applyFont="1" applyFill="1" applyAlignment="1">
      <alignment vertical="center"/>
    </xf>
    <xf numFmtId="0" fontId="7" fillId="0" borderId="19" xfId="0" applyFont="1" applyFill="1" applyBorder="1" applyAlignment="1">
      <alignment horizontal="center" vertical="center"/>
    </xf>
    <xf numFmtId="0" fontId="7" fillId="0" borderId="19" xfId="4" applyFont="1" applyFill="1" applyBorder="1">
      <alignment vertical="center"/>
    </xf>
    <xf numFmtId="0" fontId="7" fillId="0" borderId="26" xfId="4" applyFont="1" applyFill="1" applyBorder="1">
      <alignment vertical="center"/>
    </xf>
    <xf numFmtId="179" fontId="1" fillId="0" borderId="114" xfId="0" applyNumberFormat="1" applyFont="1" applyFill="1" applyBorder="1" applyAlignment="1">
      <alignment vertical="center"/>
    </xf>
    <xf numFmtId="179" fontId="1" fillId="0" borderId="20" xfId="0" applyNumberFormat="1" applyFont="1" applyFill="1" applyBorder="1" applyAlignment="1">
      <alignment vertical="center"/>
    </xf>
    <xf numFmtId="199" fontId="1" fillId="0" borderId="21" xfId="0" applyNumberFormat="1" applyFont="1" applyFill="1" applyBorder="1" applyAlignment="1">
      <alignment horizontal="center" vertical="center"/>
    </xf>
    <xf numFmtId="199" fontId="1" fillId="0" borderId="59" xfId="0" applyNumberFormat="1" applyFont="1" applyFill="1" applyBorder="1" applyAlignment="1">
      <alignment horizontal="center" vertical="center"/>
    </xf>
    <xf numFmtId="9" fontId="16" fillId="0" borderId="0" xfId="1">
      <alignment vertical="center"/>
    </xf>
    <xf numFmtId="49" fontId="4" fillId="0" borderId="36" xfId="4" applyNumberFormat="1" applyFont="1" applyFill="1" applyBorder="1" applyAlignment="1">
      <alignment vertical="center"/>
    </xf>
    <xf numFmtId="178" fontId="27" fillId="0" borderId="0" xfId="5" applyNumberFormat="1" applyFont="1" applyFill="1"/>
    <xf numFmtId="0" fontId="1" fillId="0" borderId="74" xfId="5" applyFont="1" applyFill="1" applyBorder="1" applyAlignment="1">
      <alignment horizontal="center" vertical="center"/>
    </xf>
    <xf numFmtId="0" fontId="1" fillId="0" borderId="75" xfId="5" applyFont="1" applyFill="1" applyBorder="1" applyAlignment="1">
      <alignment horizontal="center" vertical="center"/>
    </xf>
    <xf numFmtId="0" fontId="1" fillId="0" borderId="62" xfId="5" applyFont="1" applyFill="1" applyBorder="1" applyAlignment="1">
      <alignment horizontal="center" vertical="center"/>
    </xf>
    <xf numFmtId="0" fontId="1" fillId="0" borderId="63" xfId="5" applyFont="1" applyFill="1" applyBorder="1" applyAlignment="1">
      <alignment horizontal="center" vertical="center"/>
    </xf>
    <xf numFmtId="0" fontId="1" fillId="0" borderId="83" xfId="5" applyFont="1" applyFill="1" applyBorder="1" applyAlignment="1">
      <alignment horizontal="center" vertical="center"/>
    </xf>
    <xf numFmtId="0" fontId="1" fillId="0" borderId="71" xfId="5" applyFont="1" applyFill="1" applyBorder="1" applyAlignment="1">
      <alignment horizontal="center" vertical="center"/>
    </xf>
    <xf numFmtId="0" fontId="1" fillId="0" borderId="72" xfId="5" applyFont="1" applyFill="1" applyBorder="1" applyAlignment="1">
      <alignment horizontal="center" vertical="center"/>
    </xf>
    <xf numFmtId="178" fontId="1" fillId="0" borderId="116" xfId="5" applyNumberFormat="1" applyFont="1" applyFill="1" applyBorder="1" applyAlignment="1">
      <alignment horizontal="right" vertical="center"/>
    </xf>
    <xf numFmtId="178" fontId="1" fillId="0" borderId="111" xfId="5" applyNumberFormat="1" applyFont="1" applyFill="1" applyBorder="1" applyAlignment="1">
      <alignment horizontal="right" vertical="center"/>
    </xf>
    <xf numFmtId="176" fontId="1" fillId="0" borderId="116" xfId="5" applyNumberFormat="1" applyFont="1" applyFill="1" applyBorder="1" applyAlignment="1">
      <alignment horizontal="right" vertical="center"/>
    </xf>
    <xf numFmtId="176" fontId="1" fillId="0" borderId="0" xfId="5" applyNumberFormat="1" applyFont="1" applyFill="1" applyBorder="1" applyAlignment="1">
      <alignment horizontal="right" vertical="center"/>
    </xf>
    <xf numFmtId="178" fontId="1" fillId="0" borderId="0" xfId="5" applyNumberFormat="1" applyFont="1" applyFill="1" applyBorder="1" applyAlignment="1">
      <alignment horizontal="right" vertical="center"/>
    </xf>
    <xf numFmtId="178" fontId="1" fillId="0" borderId="35" xfId="5" applyNumberFormat="1" applyFont="1" applyFill="1" applyBorder="1" applyAlignment="1">
      <alignment horizontal="right" vertical="center"/>
    </xf>
    <xf numFmtId="0" fontId="1" fillId="0" borderId="84" xfId="5" applyFont="1" applyFill="1" applyBorder="1" applyAlignment="1">
      <alignment horizontal="center" vertical="center"/>
    </xf>
    <xf numFmtId="0" fontId="1" fillId="0" borderId="61" xfId="5" applyFont="1" applyFill="1" applyBorder="1" applyAlignment="1">
      <alignment horizontal="center" vertical="center"/>
    </xf>
    <xf numFmtId="0" fontId="1" fillId="0" borderId="73" xfId="5" applyFont="1" applyFill="1" applyBorder="1" applyAlignment="1">
      <alignment horizontal="center" vertical="center"/>
    </xf>
    <xf numFmtId="0" fontId="1" fillId="0" borderId="82" xfId="5" applyFont="1" applyFill="1" applyBorder="1" applyAlignment="1">
      <alignment horizontal="center" vertical="center"/>
    </xf>
    <xf numFmtId="179" fontId="1" fillId="0" borderId="0" xfId="5" applyNumberFormat="1" applyFont="1" applyFill="1" applyBorder="1" applyAlignment="1">
      <alignment horizontal="right" vertical="center"/>
    </xf>
    <xf numFmtId="3" fontId="1" fillId="0" borderId="0" xfId="7" applyNumberFormat="1" applyFont="1" applyFill="1" applyBorder="1" applyAlignment="1">
      <alignment horizontal="right"/>
    </xf>
    <xf numFmtId="178" fontId="1" fillId="0" borderId="95" xfId="5" applyNumberFormat="1" applyFont="1" applyFill="1" applyBorder="1" applyAlignment="1">
      <alignment horizontal="right" vertical="center"/>
    </xf>
    <xf numFmtId="178" fontId="1" fillId="0" borderId="96" xfId="5" applyNumberFormat="1" applyFont="1" applyFill="1" applyBorder="1" applyAlignment="1">
      <alignment horizontal="right" vertical="center"/>
    </xf>
    <xf numFmtId="179" fontId="1" fillId="0" borderId="20" xfId="5" applyNumberFormat="1" applyFont="1" applyFill="1" applyBorder="1" applyAlignment="1">
      <alignment horizontal="right" vertical="center"/>
    </xf>
    <xf numFmtId="178" fontId="1" fillId="0" borderId="20" xfId="5" applyNumberFormat="1" applyFont="1" applyFill="1" applyBorder="1" applyAlignment="1">
      <alignment horizontal="right" vertical="center"/>
    </xf>
    <xf numFmtId="178" fontId="1" fillId="0" borderId="42" xfId="5" applyNumberFormat="1" applyFont="1" applyFill="1" applyBorder="1" applyAlignment="1">
      <alignment horizontal="right" vertical="center"/>
    </xf>
    <xf numFmtId="0" fontId="1" fillId="0" borderId="66" xfId="5" applyFont="1" applyFill="1" applyBorder="1" applyAlignment="1">
      <alignment horizontal="center" vertical="center"/>
    </xf>
    <xf numFmtId="0" fontId="1" fillId="0" borderId="76" xfId="5" applyFont="1" applyFill="1" applyBorder="1" applyAlignment="1">
      <alignment horizontal="center" vertical="center"/>
    </xf>
    <xf numFmtId="0" fontId="1" fillId="0" borderId="31" xfId="5" applyFont="1" applyFill="1" applyBorder="1" applyAlignment="1">
      <alignment horizontal="center" vertical="center"/>
    </xf>
    <xf numFmtId="0" fontId="1" fillId="0" borderId="77" xfId="5" applyFont="1" applyFill="1" applyBorder="1" applyAlignment="1">
      <alignment horizontal="center" vertical="center"/>
    </xf>
    <xf numFmtId="0" fontId="1" fillId="0" borderId="53" xfId="5" applyFont="1" applyFill="1" applyBorder="1" applyAlignment="1">
      <alignment horizontal="center" vertical="center"/>
    </xf>
    <xf numFmtId="0" fontId="1" fillId="0" borderId="78" xfId="5" applyFont="1" applyFill="1" applyBorder="1" applyAlignment="1">
      <alignment horizontal="center" vertical="center"/>
    </xf>
    <xf numFmtId="0" fontId="1" fillId="0" borderId="79" xfId="5" applyFont="1" applyFill="1" applyBorder="1" applyAlignment="1">
      <alignment horizontal="center" vertical="center"/>
    </xf>
    <xf numFmtId="0" fontId="1" fillId="0" borderId="80" xfId="5" applyFont="1" applyFill="1" applyBorder="1" applyAlignment="1">
      <alignment horizontal="center" vertical="center"/>
    </xf>
    <xf numFmtId="0" fontId="1" fillId="0" borderId="81" xfId="5" applyFont="1" applyFill="1" applyBorder="1" applyAlignment="1">
      <alignment horizontal="center" vertical="center"/>
    </xf>
    <xf numFmtId="3" fontId="1" fillId="0" borderId="20" xfId="7" applyNumberFormat="1" applyFont="1" applyFill="1" applyBorder="1" applyAlignment="1">
      <alignment horizontal="right"/>
    </xf>
    <xf numFmtId="3" fontId="1" fillId="0" borderId="95" xfId="7" applyNumberFormat="1" applyFont="1" applyFill="1" applyBorder="1" applyAlignment="1">
      <alignment horizontal="right"/>
    </xf>
    <xf numFmtId="0" fontId="1" fillId="0" borderId="17"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39" xfId="0" applyFont="1" applyFill="1" applyBorder="1" applyAlignment="1">
      <alignment horizontal="center" vertical="distributed" textRotation="255"/>
    </xf>
    <xf numFmtId="0" fontId="1" fillId="0" borderId="29"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69" xfId="0" applyFont="1" applyFill="1" applyBorder="1" applyAlignment="1">
      <alignment horizontal="center" vertical="center"/>
    </xf>
    <xf numFmtId="0" fontId="1" fillId="0" borderId="94" xfId="0" applyFont="1" applyFill="1" applyBorder="1" applyAlignment="1">
      <alignment horizontal="center" vertical="center"/>
    </xf>
    <xf numFmtId="0" fontId="1" fillId="0" borderId="24" xfId="0" applyFont="1" applyFill="1" applyBorder="1" applyAlignment="1">
      <alignment horizontal="center" vertical="distributed" textRotation="255"/>
    </xf>
    <xf numFmtId="0" fontId="1" fillId="0" borderId="25" xfId="0" applyFont="1" applyFill="1" applyBorder="1" applyAlignment="1">
      <alignment horizontal="center" vertical="distributed" textRotation="255"/>
    </xf>
    <xf numFmtId="0" fontId="1" fillId="0" borderId="70" xfId="0" applyFont="1" applyFill="1" applyBorder="1" applyAlignment="1">
      <alignment horizontal="center" vertical="distributed" textRotation="255"/>
    </xf>
    <xf numFmtId="0" fontId="1" fillId="0" borderId="0" xfId="0" applyFont="1" applyFill="1" applyBorder="1" applyAlignment="1">
      <alignment horizontal="right" vertical="center"/>
    </xf>
    <xf numFmtId="0" fontId="1" fillId="0" borderId="41"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17"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6" xfId="0" applyFont="1" applyFill="1" applyBorder="1" applyAlignment="1">
      <alignment horizontal="center" vertical="center"/>
    </xf>
    <xf numFmtId="0" fontId="1" fillId="0" borderId="4" xfId="0" applyFont="1" applyFill="1" applyBorder="1" applyAlignment="1">
      <alignment horizontal="center" vertical="center"/>
    </xf>
    <xf numFmtId="183" fontId="1" fillId="0" borderId="17" xfId="0" applyNumberFormat="1" applyFont="1" applyFill="1" applyBorder="1" applyAlignment="1">
      <alignment horizontal="center" vertical="center" wrapText="1"/>
    </xf>
    <xf numFmtId="183" fontId="1" fillId="0" borderId="1" xfId="0" applyNumberFormat="1" applyFont="1" applyFill="1" applyBorder="1" applyAlignment="1">
      <alignment horizontal="center" vertical="center" wrapText="1"/>
    </xf>
    <xf numFmtId="184" fontId="1" fillId="0" borderId="17" xfId="0" applyNumberFormat="1" applyFont="1" applyFill="1" applyBorder="1" applyAlignment="1">
      <alignment horizontal="center" vertical="center" wrapText="1"/>
    </xf>
    <xf numFmtId="184" fontId="1" fillId="0" borderId="1" xfId="0" applyNumberFormat="1" applyFont="1" applyFill="1" applyBorder="1" applyAlignment="1">
      <alignment horizontal="center" vertical="center" wrapText="1"/>
    </xf>
    <xf numFmtId="177" fontId="1" fillId="0" borderId="18"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0" fontId="1" fillId="0" borderId="0" xfId="0" applyFont="1" applyFill="1" applyBorder="1" applyAlignment="1">
      <alignment horizontal="distributed" vertical="center"/>
    </xf>
    <xf numFmtId="0" fontId="1" fillId="0" borderId="0" xfId="4" applyFont="1" applyFill="1" applyBorder="1" applyAlignment="1">
      <alignment horizontal="distributed" vertical="center" wrapText="1"/>
    </xf>
    <xf numFmtId="0" fontId="1" fillId="0" borderId="46" xfId="0" applyFont="1" applyFill="1" applyBorder="1" applyAlignment="1">
      <alignment horizontal="center" vertical="center"/>
    </xf>
    <xf numFmtId="0" fontId="1" fillId="0" borderId="48" xfId="0" applyFont="1" applyFill="1" applyBorder="1" applyAlignment="1">
      <alignment horizontal="center" vertical="center"/>
    </xf>
    <xf numFmtId="0" fontId="1" fillId="0" borderId="47" xfId="0" applyFont="1" applyFill="1" applyBorder="1" applyAlignment="1">
      <alignment horizontal="center" vertical="center"/>
    </xf>
    <xf numFmtId="0" fontId="1" fillId="0" borderId="33" xfId="0" applyFont="1" applyFill="1" applyBorder="1" applyAlignment="1">
      <alignment horizontal="distributed" vertical="center"/>
    </xf>
    <xf numFmtId="0" fontId="1" fillId="0" borderId="9" xfId="0" applyFont="1" applyFill="1" applyBorder="1" applyAlignment="1">
      <alignment horizontal="distributed" vertical="center"/>
    </xf>
    <xf numFmtId="0" fontId="1" fillId="0" borderId="68" xfId="0" applyFont="1" applyFill="1" applyBorder="1" applyAlignment="1">
      <alignment horizontal="distributed" vertical="center"/>
    </xf>
    <xf numFmtId="0" fontId="1" fillId="0" borderId="20" xfId="0" applyFont="1" applyFill="1" applyBorder="1" applyAlignment="1">
      <alignment horizontal="distributed" vertical="center"/>
    </xf>
    <xf numFmtId="0" fontId="1" fillId="0" borderId="8" xfId="0" applyFont="1" applyFill="1" applyBorder="1" applyAlignment="1">
      <alignment horizontal="center" vertical="center"/>
    </xf>
    <xf numFmtId="0" fontId="1" fillId="0" borderId="33" xfId="0" applyNumberFormat="1" applyFont="1" applyFill="1" applyBorder="1" applyAlignment="1">
      <alignment horizontal="center" vertical="center"/>
    </xf>
    <xf numFmtId="0" fontId="1" fillId="0" borderId="11" xfId="0" applyNumberFormat="1" applyFont="1" applyFill="1" applyBorder="1" applyAlignment="1">
      <alignment horizontal="center" vertical="center"/>
    </xf>
    <xf numFmtId="0" fontId="1" fillId="0" borderId="0" xfId="0" applyFont="1" applyFill="1" applyBorder="1" applyAlignment="1"/>
    <xf numFmtId="0" fontId="1" fillId="0" borderId="49"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31" xfId="0" applyFont="1" applyFill="1" applyBorder="1" applyAlignment="1">
      <alignment horizontal="left" vertical="center"/>
    </xf>
    <xf numFmtId="212" fontId="1" fillId="0" borderId="113" xfId="0" applyNumberFormat="1" applyFont="1" applyFill="1" applyBorder="1" applyAlignment="1">
      <alignment vertical="center"/>
    </xf>
    <xf numFmtId="212" fontId="1" fillId="0" borderId="113" xfId="0" applyNumberFormat="1" applyFont="1" applyFill="1" applyBorder="1" applyAlignment="1">
      <alignment horizontal="center" vertical="center"/>
    </xf>
    <xf numFmtId="49" fontId="21" fillId="0" borderId="19" xfId="4" applyNumberFormat="1" applyFont="1" applyFill="1" applyBorder="1" applyAlignment="1">
      <alignment horizontal="center" vertical="center"/>
    </xf>
    <xf numFmtId="49" fontId="21" fillId="0" borderId="13" xfId="4" applyNumberFormat="1" applyFont="1" applyFill="1" applyBorder="1" applyAlignment="1">
      <alignment horizontal="center" vertical="center"/>
    </xf>
    <xf numFmtId="212" fontId="1" fillId="0" borderId="114" xfId="0" applyNumberFormat="1" applyFont="1" applyFill="1" applyBorder="1" applyAlignment="1">
      <alignment vertical="center"/>
    </xf>
    <xf numFmtId="49" fontId="1" fillId="0" borderId="19" xfId="4" applyNumberFormat="1" applyFont="1" applyFill="1" applyBorder="1" applyAlignment="1">
      <alignment horizontal="center" vertical="center"/>
    </xf>
    <xf numFmtId="49" fontId="1" fillId="0" borderId="13" xfId="4" applyNumberFormat="1" applyFont="1" applyFill="1" applyBorder="1" applyAlignment="1">
      <alignment horizontal="center" vertical="center"/>
    </xf>
    <xf numFmtId="0" fontId="10" fillId="0" borderId="118" xfId="0" applyFont="1" applyFill="1" applyBorder="1" applyAlignment="1">
      <alignment horizontal="distributed" vertical="center" wrapText="1"/>
    </xf>
    <xf numFmtId="198" fontId="1" fillId="0" borderId="85" xfId="0" applyNumberFormat="1" applyFont="1" applyFill="1" applyBorder="1" applyAlignment="1">
      <alignment horizontal="center" vertical="center"/>
    </xf>
    <xf numFmtId="198" fontId="1" fillId="0" borderId="119" xfId="0" applyNumberFormat="1" applyFont="1" applyFill="1" applyBorder="1" applyAlignment="1">
      <alignment horizontal="center" vertical="center"/>
    </xf>
    <xf numFmtId="198" fontId="1" fillId="0" borderId="118" xfId="0" applyNumberFormat="1" applyFont="1" applyFill="1" applyBorder="1" applyAlignment="1">
      <alignment horizontal="center" vertical="center"/>
    </xf>
    <xf numFmtId="49" fontId="1" fillId="0" borderId="5" xfId="4" applyNumberFormat="1" applyFont="1" applyFill="1" applyBorder="1" applyAlignment="1">
      <alignment horizontal="center" vertical="center"/>
    </xf>
    <xf numFmtId="0" fontId="1" fillId="0" borderId="118" xfId="0" applyFont="1" applyFill="1" applyBorder="1" applyAlignment="1">
      <alignment horizontal="distributed" vertical="center" wrapText="1"/>
    </xf>
    <xf numFmtId="0" fontId="1" fillId="0" borderId="86" xfId="0" applyFont="1" applyFill="1" applyBorder="1" applyAlignment="1">
      <alignment horizontal="center" vertical="center"/>
    </xf>
    <xf numFmtId="0" fontId="1" fillId="0" borderId="85" xfId="0" applyFont="1" applyFill="1" applyBorder="1" applyAlignment="1">
      <alignment horizontal="center" vertical="center"/>
    </xf>
    <xf numFmtId="0" fontId="1" fillId="0" borderId="20" xfId="0" applyFont="1" applyFill="1" applyBorder="1" applyAlignment="1">
      <alignment horizontal="left" vertical="center"/>
    </xf>
    <xf numFmtId="0" fontId="1" fillId="0" borderId="5" xfId="4" applyFont="1" applyFill="1" applyBorder="1" applyAlignment="1">
      <alignment horizontal="distributed" vertical="center"/>
    </xf>
    <xf numFmtId="0" fontId="1" fillId="0" borderId="0" xfId="4" applyFont="1" applyFill="1" applyBorder="1" applyAlignment="1">
      <alignment horizontal="distributed" vertical="center"/>
    </xf>
    <xf numFmtId="0" fontId="1" fillId="0" borderId="33" xfId="4" applyFont="1" applyFill="1" applyBorder="1" applyAlignment="1">
      <alignment horizontal="distributed" vertical="center"/>
    </xf>
    <xf numFmtId="0" fontId="1" fillId="0" borderId="9" xfId="4" applyFont="1" applyFill="1" applyBorder="1" applyAlignment="1">
      <alignment horizontal="distributed" vertical="center"/>
    </xf>
    <xf numFmtId="0" fontId="6" fillId="0" borderId="19" xfId="4" applyFont="1" applyFill="1" applyBorder="1" applyAlignment="1">
      <alignment horizontal="distributed" vertical="center"/>
    </xf>
    <xf numFmtId="0" fontId="6" fillId="0" borderId="0" xfId="4" applyFont="1" applyFill="1" applyBorder="1" applyAlignment="1">
      <alignment horizontal="distributed" vertical="center"/>
    </xf>
    <xf numFmtId="0" fontId="1" fillId="0" borderId="18" xfId="0" applyFont="1" applyFill="1" applyBorder="1" applyAlignment="1">
      <alignment horizontal="center" vertical="center"/>
    </xf>
    <xf numFmtId="49" fontId="1" fillId="0" borderId="2" xfId="4" applyNumberFormat="1" applyFont="1" applyFill="1" applyBorder="1" applyAlignment="1">
      <alignment horizontal="center" vertical="center"/>
    </xf>
    <xf numFmtId="49" fontId="1" fillId="0" borderId="11" xfId="4" applyNumberFormat="1" applyFont="1" applyFill="1" applyBorder="1" applyAlignment="1">
      <alignment horizontal="center" vertical="center"/>
    </xf>
    <xf numFmtId="196" fontId="1" fillId="0" borderId="117" xfId="0" applyNumberFormat="1" applyFont="1" applyFill="1" applyBorder="1" applyAlignment="1">
      <alignment horizontal="center" vertical="center"/>
    </xf>
    <xf numFmtId="0" fontId="1" fillId="0" borderId="117" xfId="0" applyFont="1" applyFill="1" applyBorder="1" applyAlignment="1">
      <alignment horizontal="distributed" vertical="center" wrapText="1"/>
    </xf>
    <xf numFmtId="49" fontId="1" fillId="0" borderId="33" xfId="4" applyNumberFormat="1" applyFont="1" applyFill="1" applyBorder="1" applyAlignment="1">
      <alignment horizontal="center" vertical="center"/>
    </xf>
    <xf numFmtId="0" fontId="1" fillId="0" borderId="20" xfId="0" applyFont="1" applyFill="1" applyBorder="1" applyAlignment="1">
      <alignment horizontal="right" vertical="center"/>
    </xf>
    <xf numFmtId="0" fontId="1" fillId="0" borderId="4" xfId="0" applyFont="1" applyBorder="1" applyAlignment="1">
      <alignment horizontal="center" vertical="center"/>
    </xf>
    <xf numFmtId="0" fontId="1" fillId="0" borderId="12" xfId="0" applyFont="1" applyBorder="1" applyAlignment="1">
      <alignment horizontal="center" vertical="center"/>
    </xf>
    <xf numFmtId="0" fontId="1" fillId="0" borderId="97" xfId="0" applyFont="1" applyBorder="1" applyAlignment="1">
      <alignment horizontal="center" vertical="center"/>
    </xf>
    <xf numFmtId="0" fontId="1" fillId="0" borderId="98" xfId="0" applyFont="1" applyBorder="1" applyAlignment="1">
      <alignment horizontal="center" vertical="center"/>
    </xf>
    <xf numFmtId="0" fontId="1" fillId="0" borderId="99" xfId="0" applyFont="1" applyBorder="1" applyAlignment="1">
      <alignment horizontal="center" vertical="center"/>
    </xf>
    <xf numFmtId="0" fontId="1" fillId="0" borderId="9" xfId="0" applyFont="1" applyFill="1" applyBorder="1" applyAlignment="1">
      <alignment horizontal="right" vertical="center"/>
    </xf>
    <xf numFmtId="0" fontId="1" fillId="0" borderId="0" xfId="0" applyFont="1" applyBorder="1" applyAlignment="1">
      <alignment horizontal="distributed" vertical="center"/>
    </xf>
    <xf numFmtId="0" fontId="1" fillId="0" borderId="0" xfId="0" applyFont="1" applyBorder="1" applyAlignment="1">
      <alignment horizontal="left" vertical="center" indent="1"/>
    </xf>
    <xf numFmtId="0" fontId="1" fillId="0" borderId="0" xfId="0" applyFont="1" applyBorder="1" applyAlignment="1">
      <alignment horizontal="center" vertical="center"/>
    </xf>
    <xf numFmtId="189" fontId="1" fillId="0" borderId="0" xfId="0" applyNumberFormat="1" applyFont="1" applyFill="1" applyBorder="1" applyAlignment="1">
      <alignment horizontal="right" vertical="center"/>
    </xf>
    <xf numFmtId="0" fontId="1" fillId="0" borderId="20" xfId="0" applyFont="1" applyBorder="1" applyAlignment="1">
      <alignment horizontal="distributed" vertical="center"/>
    </xf>
    <xf numFmtId="0" fontId="3" fillId="0" borderId="0" xfId="0" applyFont="1" applyBorder="1" applyAlignment="1">
      <alignment horizontal="distributed" vertical="center"/>
    </xf>
    <xf numFmtId="0" fontId="1" fillId="0" borderId="0" xfId="0" applyFont="1" applyAlignment="1">
      <alignment horizontal="left" vertical="center" textRotation="255"/>
    </xf>
    <xf numFmtId="0" fontId="1" fillId="0" borderId="100" xfId="0" applyFont="1" applyBorder="1" applyAlignment="1">
      <alignment horizontal="center" vertical="center"/>
    </xf>
    <xf numFmtId="0" fontId="1" fillId="0" borderId="101" xfId="0" applyFont="1" applyBorder="1" applyAlignment="1">
      <alignment horizontal="center" vertical="center"/>
    </xf>
    <xf numFmtId="0" fontId="3" fillId="0" borderId="0" xfId="0" applyFont="1" applyFill="1" applyBorder="1" applyAlignment="1">
      <alignment horizontal="right" vertical="center"/>
    </xf>
    <xf numFmtId="176" fontId="1" fillId="0" borderId="0" xfId="0" applyNumberFormat="1" applyFont="1" applyFill="1" applyBorder="1" applyAlignment="1">
      <alignment vertical="center"/>
    </xf>
    <xf numFmtId="0" fontId="7" fillId="0" borderId="31" xfId="0" applyFont="1" applyBorder="1" applyAlignment="1">
      <alignment horizontal="center" vertical="center"/>
    </xf>
    <xf numFmtId="200" fontId="1" fillId="0" borderId="5" xfId="0" applyNumberFormat="1" applyFont="1" applyFill="1" applyBorder="1" applyAlignment="1">
      <alignment vertical="center"/>
    </xf>
    <xf numFmtId="176" fontId="1" fillId="0" borderId="20" xfId="0" applyNumberFormat="1" applyFont="1" applyFill="1" applyBorder="1" applyAlignment="1">
      <alignment vertical="center"/>
    </xf>
    <xf numFmtId="0" fontId="1" fillId="0" borderId="41" xfId="0" applyFont="1" applyBorder="1" applyAlignment="1">
      <alignment horizontal="center" vertical="center"/>
    </xf>
    <xf numFmtId="0" fontId="1" fillId="0" borderId="17" xfId="0" applyFont="1" applyBorder="1" applyAlignment="1">
      <alignment horizontal="center" vertical="center"/>
    </xf>
    <xf numFmtId="0" fontId="1" fillId="0" borderId="39" xfId="0" applyFont="1" applyBorder="1" applyAlignment="1">
      <alignment horizontal="center" vertical="center"/>
    </xf>
    <xf numFmtId="0" fontId="1" fillId="0" borderId="1" xfId="0" applyFont="1" applyBorder="1" applyAlignment="1">
      <alignment horizontal="center" vertical="center"/>
    </xf>
    <xf numFmtId="0" fontId="1" fillId="0" borderId="88" xfId="0" applyFont="1" applyBorder="1" applyAlignment="1">
      <alignment horizontal="center" vertical="center"/>
    </xf>
    <xf numFmtId="0" fontId="1" fillId="0" borderId="70" xfId="0" applyFont="1" applyBorder="1" applyAlignment="1">
      <alignment horizontal="center" vertical="center"/>
    </xf>
    <xf numFmtId="0" fontId="1" fillId="0" borderId="0" xfId="0" applyFont="1" applyAlignment="1">
      <alignment horizontal="left" vertical="center"/>
    </xf>
    <xf numFmtId="176" fontId="1" fillId="0" borderId="0" xfId="0" applyNumberFormat="1" applyFont="1" applyFill="1" applyBorder="1" applyAlignment="1">
      <alignment horizontal="right" vertical="center"/>
    </xf>
    <xf numFmtId="0" fontId="1" fillId="0" borderId="31" xfId="0" applyFont="1" applyBorder="1" applyAlignment="1">
      <alignment horizontal="left" vertical="center" shrinkToFit="1"/>
    </xf>
    <xf numFmtId="0" fontId="1" fillId="0" borderId="104" xfId="0" applyFont="1" applyBorder="1" applyAlignment="1">
      <alignment horizontal="center" vertical="center"/>
    </xf>
    <xf numFmtId="0" fontId="1" fillId="0" borderId="48" xfId="0" applyFont="1" applyBorder="1" applyAlignment="1">
      <alignment horizontal="center" vertical="center"/>
    </xf>
    <xf numFmtId="0" fontId="1" fillId="0" borderId="87" xfId="0" applyFont="1" applyBorder="1" applyAlignment="1">
      <alignment horizontal="center" vertical="center"/>
    </xf>
    <xf numFmtId="200" fontId="1" fillId="0" borderId="21" xfId="0" applyNumberFormat="1" applyFont="1" applyFill="1" applyBorder="1" applyAlignment="1">
      <alignment vertical="center"/>
    </xf>
    <xf numFmtId="0" fontId="6" fillId="0" borderId="0" xfId="0" applyFont="1" applyBorder="1" applyAlignment="1">
      <alignment horizontal="distributed" vertical="center"/>
    </xf>
    <xf numFmtId="0" fontId="1" fillId="0" borderId="9" xfId="0" applyFont="1" applyBorder="1" applyAlignment="1">
      <alignment horizontal="distributed" vertical="center"/>
    </xf>
    <xf numFmtId="189" fontId="1" fillId="0" borderId="9" xfId="0" applyNumberFormat="1" applyFont="1" applyFill="1" applyBorder="1" applyAlignment="1">
      <alignment horizontal="right" vertical="center"/>
    </xf>
    <xf numFmtId="176" fontId="3" fillId="0" borderId="0" xfId="0" applyNumberFormat="1" applyFont="1" applyFill="1" applyBorder="1" applyAlignment="1">
      <alignment vertical="center"/>
    </xf>
    <xf numFmtId="0" fontId="1" fillId="0" borderId="16" xfId="0" applyFont="1" applyBorder="1" applyAlignment="1">
      <alignment horizontal="center" vertical="center"/>
    </xf>
    <xf numFmtId="200" fontId="1" fillId="0" borderId="5" xfId="0" applyNumberFormat="1" applyFont="1" applyFill="1" applyBorder="1" applyAlignment="1">
      <alignment horizontal="right" vertical="center"/>
    </xf>
    <xf numFmtId="200" fontId="1" fillId="0" borderId="0" xfId="0" applyNumberFormat="1" applyFont="1" applyFill="1" applyBorder="1" applyAlignment="1">
      <alignment horizontal="right" vertical="center"/>
    </xf>
    <xf numFmtId="0" fontId="1" fillId="0" borderId="60" xfId="0" applyFont="1" applyBorder="1" applyAlignment="1">
      <alignment horizontal="center" vertical="center"/>
    </xf>
    <xf numFmtId="0" fontId="1" fillId="0" borderId="47" xfId="0" applyFont="1" applyBorder="1" applyAlignment="1">
      <alignment horizontal="center" vertical="center"/>
    </xf>
    <xf numFmtId="176" fontId="1" fillId="0" borderId="9" xfId="0" applyNumberFormat="1" applyFont="1" applyFill="1" applyBorder="1" applyAlignment="1">
      <alignment vertical="center"/>
    </xf>
    <xf numFmtId="0" fontId="1" fillId="0" borderId="0" xfId="0" applyFont="1" applyFill="1" applyBorder="1" applyAlignment="1">
      <alignment horizontal="left" vertical="top" wrapText="1"/>
    </xf>
    <xf numFmtId="0" fontId="1" fillId="0" borderId="0" xfId="0" applyFont="1" applyBorder="1" applyAlignment="1">
      <alignment horizontal="left" vertical="center" shrinkToFit="1"/>
    </xf>
    <xf numFmtId="0" fontId="1" fillId="0" borderId="0" xfId="0" applyFont="1" applyBorder="1" applyAlignment="1">
      <alignment horizontal="left" vertical="center"/>
    </xf>
    <xf numFmtId="0" fontId="1" fillId="0" borderId="12" xfId="0" applyFont="1" applyFill="1" applyBorder="1" applyAlignment="1">
      <alignment horizontal="center" vertical="center"/>
    </xf>
    <xf numFmtId="0" fontId="1" fillId="0" borderId="10" xfId="0" applyFont="1" applyBorder="1" applyAlignment="1">
      <alignment horizontal="center" vertical="center"/>
    </xf>
    <xf numFmtId="0" fontId="1" fillId="0" borderId="87" xfId="0" applyFont="1" applyFill="1" applyBorder="1" applyAlignment="1">
      <alignment horizontal="center" vertical="center"/>
    </xf>
    <xf numFmtId="0" fontId="1" fillId="0" borderId="16" xfId="0" applyFont="1" applyFill="1" applyBorder="1" applyAlignment="1">
      <alignment horizontal="center" vertical="center" shrinkToFit="1"/>
    </xf>
    <xf numFmtId="0" fontId="1" fillId="0" borderId="47" xfId="0" applyFont="1" applyFill="1" applyBorder="1" applyAlignment="1">
      <alignment horizontal="center" vertical="center" shrinkToFit="1"/>
    </xf>
    <xf numFmtId="200" fontId="3" fillId="0" borderId="5" xfId="0" applyNumberFormat="1" applyFont="1" applyFill="1" applyBorder="1" applyAlignment="1">
      <alignment vertical="center"/>
    </xf>
    <xf numFmtId="189" fontId="3" fillId="0" borderId="0" xfId="0" applyNumberFormat="1" applyFont="1" applyFill="1" applyBorder="1" applyAlignment="1">
      <alignment horizontal="right" vertical="center"/>
    </xf>
    <xf numFmtId="0" fontId="1" fillId="0" borderId="19" xfId="0" applyFont="1" applyBorder="1" applyAlignment="1">
      <alignment horizontal="distributed" vertical="center"/>
    </xf>
    <xf numFmtId="0" fontId="3" fillId="0" borderId="19" xfId="0" applyFont="1" applyBorder="1" applyAlignment="1">
      <alignment horizontal="distributed" vertical="center"/>
    </xf>
    <xf numFmtId="0" fontId="1" fillId="0" borderId="1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43" xfId="0" applyFont="1" applyBorder="1" applyAlignment="1">
      <alignment horizontal="center" vertical="center"/>
    </xf>
    <xf numFmtId="0" fontId="1" fillId="0" borderId="89" xfId="0" applyFont="1" applyBorder="1" applyAlignment="1">
      <alignment horizontal="center" vertical="center"/>
    </xf>
    <xf numFmtId="176" fontId="1" fillId="0" borderId="21" xfId="0" applyNumberFormat="1" applyFont="1" applyBorder="1" applyAlignment="1">
      <alignment horizontal="right" vertical="center"/>
    </xf>
    <xf numFmtId="0" fontId="1" fillId="0" borderId="25" xfId="0" applyFont="1" applyBorder="1" applyAlignment="1">
      <alignment horizontal="center" vertical="center"/>
    </xf>
    <xf numFmtId="0" fontId="1" fillId="0" borderId="6" xfId="0" applyFont="1" applyBorder="1" applyAlignment="1">
      <alignment horizontal="center" vertical="center"/>
    </xf>
    <xf numFmtId="176" fontId="1" fillId="0" borderId="5" xfId="0" applyNumberFormat="1" applyFont="1" applyBorder="1" applyAlignment="1">
      <alignment horizontal="right" vertical="center"/>
    </xf>
    <xf numFmtId="0" fontId="3" fillId="0" borderId="24" xfId="0" applyFont="1" applyBorder="1" applyAlignment="1">
      <alignment horizontal="center" vertical="center"/>
    </xf>
    <xf numFmtId="0" fontId="3" fillId="0" borderId="7" xfId="0" applyFont="1" applyBorder="1" applyAlignment="1">
      <alignment horizontal="center" vertical="center"/>
    </xf>
    <xf numFmtId="176" fontId="3" fillId="0" borderId="2" xfId="0" applyNumberFormat="1" applyFont="1" applyBorder="1" applyAlignment="1">
      <alignment horizontal="right" vertical="center"/>
    </xf>
    <xf numFmtId="0" fontId="1" fillId="0" borderId="19" xfId="0" applyFont="1" applyBorder="1" applyAlignment="1">
      <alignment horizontal="center" vertical="center"/>
    </xf>
    <xf numFmtId="0" fontId="1" fillId="0" borderId="5" xfId="0" applyFont="1" applyBorder="1" applyAlignment="1">
      <alignment horizontal="center" vertical="center"/>
    </xf>
    <xf numFmtId="0" fontId="1" fillId="0" borderId="18" xfId="0" applyFont="1" applyBorder="1" applyAlignment="1">
      <alignment horizontal="center" vertical="center"/>
    </xf>
    <xf numFmtId="0" fontId="1" fillId="0" borderId="49" xfId="0" applyFont="1" applyBorder="1" applyAlignment="1">
      <alignment horizontal="center" vertical="center"/>
    </xf>
    <xf numFmtId="0" fontId="1" fillId="0" borderId="27" xfId="0" applyFont="1" applyBorder="1" applyAlignment="1">
      <alignment horizontal="center" vertical="center"/>
    </xf>
    <xf numFmtId="0" fontId="1" fillId="0" borderId="30" xfId="0" applyFont="1" applyBorder="1" applyAlignment="1">
      <alignment horizontal="center" vertical="center"/>
    </xf>
    <xf numFmtId="0" fontId="1" fillId="0" borderId="3" xfId="0" applyFont="1" applyBorder="1" applyAlignment="1">
      <alignment horizontal="center" vertical="center"/>
    </xf>
    <xf numFmtId="0" fontId="1" fillId="0" borderId="14" xfId="0" applyFont="1" applyBorder="1" applyAlignment="1">
      <alignment horizontal="center" vertical="center"/>
    </xf>
    <xf numFmtId="0" fontId="1" fillId="0" borderId="70" xfId="0" applyFont="1" applyFill="1" applyBorder="1" applyAlignment="1">
      <alignment horizontal="center" vertical="center"/>
    </xf>
    <xf numFmtId="0" fontId="1" fillId="0" borderId="0" xfId="0" applyFont="1" applyBorder="1" applyAlignment="1">
      <alignment horizontal="left" vertical="top" wrapText="1"/>
    </xf>
    <xf numFmtId="176" fontId="1" fillId="0" borderId="5" xfId="0" applyNumberFormat="1" applyFont="1" applyBorder="1" applyAlignment="1">
      <alignment vertical="center"/>
    </xf>
    <xf numFmtId="176" fontId="1" fillId="0" borderId="0" xfId="0" applyNumberFormat="1" applyFont="1" applyBorder="1" applyAlignment="1">
      <alignment vertical="center"/>
    </xf>
    <xf numFmtId="176" fontId="1" fillId="0" borderId="21" xfId="0" applyNumberFormat="1" applyFont="1" applyBorder="1" applyAlignment="1">
      <alignment vertical="center"/>
    </xf>
    <xf numFmtId="0" fontId="10" fillId="0" borderId="7" xfId="0" applyFont="1" applyBorder="1" applyAlignment="1">
      <alignment horizontal="center" vertical="center" shrinkToFit="1"/>
    </xf>
    <xf numFmtId="205" fontId="1" fillId="0" borderId="5" xfId="0" applyNumberFormat="1" applyFont="1" applyBorder="1" applyAlignment="1">
      <alignment vertical="center"/>
    </xf>
    <xf numFmtId="0" fontId="3" fillId="0" borderId="6" xfId="0" applyFont="1" applyBorder="1" applyAlignment="1">
      <alignment horizontal="center" vertical="center"/>
    </xf>
    <xf numFmtId="176" fontId="3" fillId="0" borderId="5" xfId="0" applyNumberFormat="1" applyFont="1" applyBorder="1" applyAlignment="1">
      <alignment vertical="center"/>
    </xf>
    <xf numFmtId="0" fontId="3" fillId="0" borderId="5" xfId="0" applyFont="1" applyBorder="1" applyAlignment="1">
      <alignment horizontal="center" vertical="center"/>
    </xf>
    <xf numFmtId="0" fontId="3" fillId="0" borderId="13" xfId="0" applyFont="1" applyBorder="1" applyAlignment="1">
      <alignment horizontal="center" vertical="center"/>
    </xf>
    <xf numFmtId="176" fontId="3" fillId="0" borderId="0" xfId="0" applyNumberFormat="1" applyFont="1" applyBorder="1" applyAlignment="1">
      <alignment vertical="center"/>
    </xf>
    <xf numFmtId="0" fontId="1" fillId="0" borderId="13" xfId="0" applyFont="1" applyBorder="1" applyAlignment="1">
      <alignment horizontal="center" vertical="center"/>
    </xf>
    <xf numFmtId="0" fontId="10" fillId="0" borderId="2" xfId="0" applyFont="1" applyBorder="1" applyAlignment="1">
      <alignment horizontal="center" vertical="center" shrinkToFit="1"/>
    </xf>
    <xf numFmtId="0" fontId="10" fillId="0" borderId="11" xfId="0" applyFont="1" applyBorder="1" applyAlignment="1">
      <alignment horizontal="center" vertical="center" shrinkToFit="1"/>
    </xf>
    <xf numFmtId="205" fontId="1" fillId="0" borderId="0" xfId="0" applyNumberFormat="1" applyFont="1" applyBorder="1" applyAlignment="1">
      <alignment vertical="center"/>
    </xf>
    <xf numFmtId="0" fontId="1" fillId="0" borderId="0" xfId="0" applyFont="1" applyBorder="1" applyAlignment="1">
      <alignment horizontal="center" vertical="top"/>
    </xf>
    <xf numFmtId="0" fontId="1" fillId="0" borderId="0" xfId="0" applyFont="1" applyBorder="1" applyAlignment="1">
      <alignment horizontal="right"/>
    </xf>
    <xf numFmtId="205" fontId="1" fillId="0" borderId="2" xfId="0" applyNumberFormat="1" applyFont="1" applyBorder="1" applyAlignment="1">
      <alignment vertical="center"/>
    </xf>
    <xf numFmtId="205" fontId="1" fillId="0" borderId="9" xfId="0" applyNumberFormat="1" applyFont="1" applyBorder="1" applyAlignment="1">
      <alignment vertical="center"/>
    </xf>
    <xf numFmtId="179" fontId="3" fillId="0" borderId="43" xfId="0" applyNumberFormat="1" applyFont="1" applyBorder="1" applyAlignment="1">
      <alignment horizontal="center" vertical="center"/>
    </xf>
    <xf numFmtId="179" fontId="3" fillId="0" borderId="89" xfId="0" applyNumberFormat="1" applyFont="1" applyBorder="1" applyAlignment="1">
      <alignment horizontal="center" vertical="center"/>
    </xf>
    <xf numFmtId="179" fontId="3" fillId="0" borderId="21" xfId="0" applyNumberFormat="1" applyFont="1" applyBorder="1" applyAlignment="1">
      <alignment horizontal="right" vertical="center"/>
    </xf>
    <xf numFmtId="179" fontId="1" fillId="0" borderId="19" xfId="0" applyNumberFormat="1" applyFont="1" applyBorder="1" applyAlignment="1">
      <alignment horizontal="center" vertical="center"/>
    </xf>
    <xf numFmtId="179" fontId="1" fillId="0" borderId="13" xfId="0" applyNumberFormat="1" applyFont="1" applyBorder="1" applyAlignment="1">
      <alignment horizontal="center" vertical="center"/>
    </xf>
    <xf numFmtId="179" fontId="1" fillId="0" borderId="5" xfId="0" applyNumberFormat="1" applyFont="1" applyBorder="1" applyAlignment="1">
      <alignment horizontal="right" vertical="center"/>
    </xf>
    <xf numFmtId="179" fontId="1" fillId="0" borderId="0" xfId="0" applyNumberFormat="1" applyFont="1" applyBorder="1" applyAlignment="1">
      <alignment horizontal="right" vertical="center"/>
    </xf>
    <xf numFmtId="0" fontId="3" fillId="0" borderId="36" xfId="0" applyFont="1" applyBorder="1" applyAlignment="1">
      <alignment horizontal="center" vertical="center"/>
    </xf>
    <xf numFmtId="0" fontId="3" fillId="0" borderId="20" xfId="0" applyFont="1" applyBorder="1" applyAlignment="1">
      <alignment horizontal="center" vertical="center"/>
    </xf>
    <xf numFmtId="0" fontId="3" fillId="0" borderId="37" xfId="0" applyFont="1" applyBorder="1" applyAlignment="1">
      <alignment horizontal="center" vertical="center"/>
    </xf>
    <xf numFmtId="0" fontId="1" fillId="0" borderId="0" xfId="0" applyFont="1" applyBorder="1" applyAlignment="1">
      <alignment horizontal="center"/>
    </xf>
    <xf numFmtId="0" fontId="1" fillId="0" borderId="8" xfId="0" applyFont="1" applyBorder="1" applyAlignment="1">
      <alignment horizontal="center" vertical="center"/>
    </xf>
    <xf numFmtId="0" fontId="1" fillId="0" borderId="23" xfId="0" applyFont="1" applyBorder="1" applyAlignment="1">
      <alignment horizontal="center" vertical="center"/>
    </xf>
    <xf numFmtId="179" fontId="1" fillId="0" borderId="33" xfId="0" applyNumberFormat="1" applyFont="1" applyBorder="1" applyAlignment="1">
      <alignment horizontal="center" vertical="center"/>
    </xf>
    <xf numFmtId="179" fontId="1" fillId="0" borderId="11" xfId="0" applyNumberFormat="1" applyFont="1" applyBorder="1" applyAlignment="1">
      <alignment horizontal="center" vertical="center"/>
    </xf>
    <xf numFmtId="179" fontId="1" fillId="0" borderId="2" xfId="0" applyNumberFormat="1" applyFont="1" applyBorder="1" applyAlignment="1">
      <alignment horizontal="right" vertical="center"/>
    </xf>
    <xf numFmtId="179" fontId="1" fillId="0" borderId="9" xfId="0" applyNumberFormat="1" applyFont="1" applyBorder="1" applyAlignment="1">
      <alignment horizontal="right" vertical="center"/>
    </xf>
    <xf numFmtId="0" fontId="1" fillId="0" borderId="49" xfId="0" applyFont="1" applyBorder="1" applyAlignment="1">
      <alignment horizontal="center"/>
    </xf>
    <xf numFmtId="0" fontId="1" fillId="0" borderId="32" xfId="0" applyFont="1" applyBorder="1" applyAlignment="1">
      <alignment horizontal="center"/>
    </xf>
    <xf numFmtId="205" fontId="1" fillId="0" borderId="9" xfId="0" applyNumberFormat="1" applyFont="1" applyBorder="1" applyAlignment="1">
      <alignment horizontal="right" vertical="center"/>
    </xf>
    <xf numFmtId="205" fontId="3" fillId="0" borderId="37" xfId="0" applyNumberFormat="1" applyFont="1" applyBorder="1" applyAlignment="1">
      <alignment horizontal="right" vertical="center"/>
    </xf>
    <xf numFmtId="205" fontId="3" fillId="0" borderId="42" xfId="0" applyNumberFormat="1" applyFont="1" applyBorder="1" applyAlignment="1">
      <alignment horizontal="right" vertical="center"/>
    </xf>
    <xf numFmtId="205" fontId="3" fillId="0" borderId="20" xfId="0" applyNumberFormat="1" applyFont="1" applyFill="1" applyBorder="1" applyAlignment="1">
      <alignment horizontal="right" vertical="center"/>
    </xf>
    <xf numFmtId="205" fontId="3" fillId="0" borderId="20" xfId="0" applyNumberFormat="1" applyFont="1" applyBorder="1" applyAlignment="1">
      <alignment horizontal="right" vertical="center"/>
    </xf>
    <xf numFmtId="205" fontId="1" fillId="0" borderId="0" xfId="0" applyNumberFormat="1" applyFont="1" applyFill="1" applyBorder="1" applyAlignment="1">
      <alignment horizontal="right" vertical="center"/>
    </xf>
    <xf numFmtId="205" fontId="1" fillId="0" borderId="0" xfId="0" applyNumberFormat="1" applyFont="1" applyBorder="1" applyAlignment="1">
      <alignment horizontal="right" vertical="center"/>
    </xf>
    <xf numFmtId="205" fontId="1" fillId="0" borderId="13" xfId="0" applyNumberFormat="1" applyFont="1" applyBorder="1" applyAlignment="1">
      <alignment horizontal="right" vertical="center"/>
    </xf>
    <xf numFmtId="205" fontId="1" fillId="0" borderId="35" xfId="0" applyNumberFormat="1" applyFont="1" applyBorder="1" applyAlignment="1">
      <alignment horizontal="right" vertical="center"/>
    </xf>
    <xf numFmtId="205" fontId="3" fillId="0" borderId="21" xfId="0" applyNumberFormat="1" applyFont="1" applyBorder="1" applyAlignment="1">
      <alignment horizontal="right" vertical="center"/>
    </xf>
    <xf numFmtId="205" fontId="1" fillId="0" borderId="34" xfId="0" applyNumberFormat="1" applyFont="1" applyBorder="1" applyAlignment="1">
      <alignment horizontal="right" vertical="center"/>
    </xf>
    <xf numFmtId="0" fontId="1" fillId="0" borderId="33" xfId="0" applyFont="1" applyBorder="1" applyAlignment="1">
      <alignment horizontal="center" vertical="center"/>
    </xf>
    <xf numFmtId="0" fontId="1" fillId="0" borderId="9" xfId="0" applyFont="1" applyBorder="1" applyAlignment="1">
      <alignment horizontal="center" vertical="center"/>
    </xf>
    <xf numFmtId="0" fontId="1" fillId="0" borderId="11" xfId="0" applyFont="1" applyBorder="1" applyAlignment="1">
      <alignment horizontal="center" vertical="center"/>
    </xf>
    <xf numFmtId="205" fontId="1" fillId="0" borderId="2" xfId="0" applyNumberFormat="1" applyFont="1" applyBorder="1" applyAlignment="1">
      <alignment horizontal="right" vertical="center"/>
    </xf>
    <xf numFmtId="205" fontId="1" fillId="0" borderId="5" xfId="0" applyNumberFormat="1" applyFont="1" applyBorder="1" applyAlignment="1">
      <alignment horizontal="right" vertical="center"/>
    </xf>
    <xf numFmtId="0" fontId="1" fillId="0" borderId="43" xfId="0" applyFont="1" applyBorder="1" applyAlignment="1">
      <alignment horizontal="distributed" vertical="center"/>
    </xf>
    <xf numFmtId="0" fontId="1" fillId="0" borderId="89" xfId="0" applyFont="1" applyBorder="1" applyAlignment="1">
      <alignment horizontal="distributed" vertical="center"/>
    </xf>
    <xf numFmtId="176" fontId="1" fillId="0" borderId="20" xfId="0" applyNumberFormat="1" applyFont="1" applyBorder="1" applyAlignment="1">
      <alignment vertical="center"/>
    </xf>
    <xf numFmtId="0" fontId="1" fillId="0" borderId="57" xfId="0" applyFont="1" applyBorder="1" applyAlignment="1">
      <alignment horizontal="center" vertical="center"/>
    </xf>
    <xf numFmtId="177" fontId="1" fillId="0" borderId="13" xfId="0" applyNumberFormat="1" applyFont="1" applyBorder="1" applyAlignment="1">
      <alignment vertical="center"/>
    </xf>
    <xf numFmtId="177" fontId="1" fillId="0" borderId="35" xfId="0" applyNumberFormat="1" applyFont="1" applyBorder="1" applyAlignment="1">
      <alignment vertical="center"/>
    </xf>
    <xf numFmtId="0" fontId="1" fillId="0" borderId="25" xfId="0" applyFont="1" applyBorder="1" applyAlignment="1">
      <alignment horizontal="distributed" vertical="center"/>
    </xf>
    <xf numFmtId="0" fontId="1" fillId="0" borderId="6" xfId="0" applyFont="1" applyBorder="1" applyAlignment="1">
      <alignment horizontal="distributed" vertical="center"/>
    </xf>
    <xf numFmtId="0" fontId="3" fillId="0" borderId="25" xfId="0" applyFont="1" applyBorder="1" applyAlignment="1">
      <alignment horizontal="distributed" vertical="center"/>
    </xf>
    <xf numFmtId="0" fontId="3" fillId="0" borderId="6" xfId="0" applyFont="1" applyBorder="1" applyAlignment="1">
      <alignment horizontal="distributed" vertical="center"/>
    </xf>
    <xf numFmtId="177" fontId="3" fillId="0" borderId="13" xfId="0" applyNumberFormat="1" applyFont="1" applyBorder="1" applyAlignment="1">
      <alignment vertical="center"/>
    </xf>
    <xf numFmtId="177" fontId="3" fillId="0" borderId="35" xfId="0" applyNumberFormat="1" applyFont="1" applyBorder="1" applyAlignment="1">
      <alignment vertical="center"/>
    </xf>
    <xf numFmtId="177" fontId="1" fillId="0" borderId="0" xfId="0" applyNumberFormat="1" applyFont="1" applyBorder="1" applyAlignment="1">
      <alignment vertical="center"/>
    </xf>
    <xf numFmtId="177" fontId="1" fillId="0" borderId="37" xfId="0" applyNumberFormat="1" applyFont="1" applyBorder="1" applyAlignment="1">
      <alignment vertical="center"/>
    </xf>
    <xf numFmtId="177" fontId="1" fillId="0" borderId="42" xfId="0" applyNumberFormat="1" applyFont="1" applyBorder="1" applyAlignment="1">
      <alignment vertical="center"/>
    </xf>
    <xf numFmtId="177" fontId="1" fillId="0" borderId="20" xfId="0" applyNumberFormat="1" applyFont="1" applyBorder="1" applyAlignment="1">
      <alignment vertical="center"/>
    </xf>
    <xf numFmtId="0" fontId="1" fillId="0" borderId="0" xfId="0" applyFont="1" applyBorder="1" applyAlignment="1">
      <alignment vertical="top" wrapText="1" shrinkToFit="1"/>
    </xf>
    <xf numFmtId="176" fontId="1" fillId="0" borderId="9" xfId="0" applyNumberFormat="1" applyFont="1" applyBorder="1" applyAlignment="1">
      <alignment vertical="center"/>
    </xf>
    <xf numFmtId="0" fontId="1" fillId="0" borderId="29"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left" vertical="center"/>
    </xf>
    <xf numFmtId="0" fontId="1" fillId="0" borderId="31" xfId="0" applyFont="1" applyBorder="1" applyAlignment="1">
      <alignment horizontal="left" vertical="center"/>
    </xf>
    <xf numFmtId="0" fontId="1" fillId="0" borderId="3" xfId="0" applyFont="1" applyBorder="1" applyAlignment="1">
      <alignment horizontal="left" vertical="center"/>
    </xf>
    <xf numFmtId="0" fontId="1" fillId="0" borderId="15" xfId="0" applyFont="1" applyBorder="1" applyAlignment="1">
      <alignment horizontal="left" vertical="center"/>
    </xf>
    <xf numFmtId="0" fontId="1" fillId="0" borderId="7" xfId="0" applyFont="1" applyBorder="1" applyAlignment="1">
      <alignment horizontal="center" vertical="center"/>
    </xf>
    <xf numFmtId="0" fontId="1" fillId="0" borderId="8" xfId="0" applyFont="1" applyBorder="1" applyAlignment="1">
      <alignment vertical="center"/>
    </xf>
    <xf numFmtId="0" fontId="1" fillId="0" borderId="23" xfId="0" applyFont="1" applyBorder="1" applyAlignment="1">
      <alignment vertical="center"/>
    </xf>
    <xf numFmtId="0" fontId="1" fillId="0" borderId="5"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32" xfId="0" applyFont="1" applyBorder="1" applyAlignment="1">
      <alignment horizontal="center" vertical="center"/>
    </xf>
    <xf numFmtId="0" fontId="1" fillId="0" borderId="6" xfId="0" applyFont="1" applyFill="1" applyBorder="1" applyAlignment="1">
      <alignment horizontal="center" vertical="center"/>
    </xf>
    <xf numFmtId="0" fontId="1" fillId="0" borderId="28" xfId="0" applyFont="1" applyFill="1" applyBorder="1" applyAlignment="1">
      <alignment horizontal="center" vertical="center"/>
    </xf>
    <xf numFmtId="0" fontId="1" fillId="0" borderId="24" xfId="0" applyFont="1" applyBorder="1" applyAlignment="1">
      <alignment horizontal="distributed" vertical="center"/>
    </xf>
    <xf numFmtId="0" fontId="1" fillId="0" borderId="7" xfId="0" applyFont="1" applyBorder="1" applyAlignment="1">
      <alignment horizontal="distributed" vertical="center"/>
    </xf>
    <xf numFmtId="177" fontId="1" fillId="0" borderId="9" xfId="0" applyNumberFormat="1" applyFont="1" applyBorder="1" applyAlignment="1">
      <alignment vertical="center"/>
    </xf>
    <xf numFmtId="177" fontId="3" fillId="0" borderId="0" xfId="0" applyNumberFormat="1" applyFont="1" applyBorder="1" applyAlignment="1">
      <alignment vertical="center"/>
    </xf>
    <xf numFmtId="177" fontId="1" fillId="0" borderId="37" xfId="0" applyNumberFormat="1" applyFont="1" applyFill="1" applyBorder="1" applyAlignment="1">
      <alignment vertical="center"/>
    </xf>
    <xf numFmtId="177" fontId="1" fillId="0" borderId="42" xfId="0" applyNumberFormat="1" applyFont="1" applyFill="1" applyBorder="1" applyAlignment="1">
      <alignment vertical="center"/>
    </xf>
    <xf numFmtId="177" fontId="1" fillId="0" borderId="13" xfId="0" applyNumberFormat="1" applyFont="1" applyFill="1" applyBorder="1" applyAlignment="1">
      <alignment vertical="center"/>
    </xf>
    <xf numFmtId="177" fontId="1" fillId="0" borderId="35" xfId="0" applyNumberFormat="1" applyFont="1" applyFill="1" applyBorder="1" applyAlignment="1">
      <alignment vertical="center"/>
    </xf>
    <xf numFmtId="177" fontId="1" fillId="0" borderId="0" xfId="0" applyNumberFormat="1" applyFont="1" applyFill="1" applyBorder="1" applyAlignment="1">
      <alignment vertical="center"/>
    </xf>
    <xf numFmtId="177" fontId="1" fillId="0" borderId="20" xfId="0" applyNumberFormat="1" applyFont="1" applyFill="1" applyBorder="1" applyAlignment="1">
      <alignment vertical="center"/>
    </xf>
    <xf numFmtId="177" fontId="3" fillId="0" borderId="0" xfId="0" applyNumberFormat="1" applyFont="1" applyFill="1" applyBorder="1" applyAlignment="1">
      <alignment vertical="center"/>
    </xf>
    <xf numFmtId="177" fontId="3" fillId="0" borderId="13" xfId="0" applyNumberFormat="1" applyFont="1" applyFill="1" applyBorder="1" applyAlignment="1">
      <alignment vertical="center"/>
    </xf>
    <xf numFmtId="177" fontId="3" fillId="0" borderId="35" xfId="0" applyNumberFormat="1" applyFont="1" applyFill="1" applyBorder="1" applyAlignment="1">
      <alignment vertical="center"/>
    </xf>
    <xf numFmtId="177" fontId="1" fillId="0" borderId="9" xfId="0" applyNumberFormat="1" applyFont="1" applyFill="1" applyBorder="1" applyAlignment="1">
      <alignment vertical="center"/>
    </xf>
    <xf numFmtId="0" fontId="21" fillId="0" borderId="31" xfId="0" applyFont="1" applyBorder="1" applyAlignment="1">
      <alignment horizontal="left" vertical="center"/>
    </xf>
    <xf numFmtId="0" fontId="1" fillId="0" borderId="5" xfId="0" applyFont="1" applyBorder="1" applyAlignment="1">
      <alignment horizontal="distributed" vertical="center"/>
    </xf>
    <xf numFmtId="0" fontId="3" fillId="0" borderId="5" xfId="0" applyFont="1" applyBorder="1" applyAlignment="1">
      <alignment horizontal="distributed" vertical="center"/>
    </xf>
    <xf numFmtId="0" fontId="1" fillId="0" borderId="32" xfId="0" applyFont="1" applyBorder="1" applyAlignment="1">
      <alignment horizontal="center" vertical="center" shrinkToFit="1"/>
    </xf>
    <xf numFmtId="0" fontId="1" fillId="0" borderId="44" xfId="0" applyFont="1" applyBorder="1" applyAlignment="1">
      <alignment horizontal="center" vertical="center" shrinkToFit="1"/>
    </xf>
    <xf numFmtId="0" fontId="1" fillId="0" borderId="19" xfId="0" applyFont="1" applyBorder="1" applyAlignment="1">
      <alignment horizontal="justify" vertical="center"/>
    </xf>
    <xf numFmtId="0" fontId="1" fillId="0" borderId="5" xfId="0" applyFont="1" applyBorder="1" applyAlignment="1">
      <alignment horizontal="justify" vertical="center"/>
    </xf>
    <xf numFmtId="0" fontId="1" fillId="0" borderId="41" xfId="0" applyFont="1" applyBorder="1" applyAlignment="1">
      <alignment horizontal="center" vertical="center" wrapText="1"/>
    </xf>
    <xf numFmtId="0" fontId="1" fillId="0" borderId="39" xfId="0" applyFont="1" applyBorder="1" applyAlignment="1">
      <alignment horizontal="center" vertical="center" wrapText="1"/>
    </xf>
    <xf numFmtId="0" fontId="21" fillId="0" borderId="0" xfId="0" applyFont="1" applyAlignment="1">
      <alignment horizontal="left" vertical="center"/>
    </xf>
    <xf numFmtId="206" fontId="1" fillId="0" borderId="35" xfId="0" applyNumberFormat="1" applyFont="1" applyFill="1" applyBorder="1" applyAlignment="1">
      <alignment horizontal="right" vertical="center"/>
    </xf>
    <xf numFmtId="206" fontId="1" fillId="0" borderId="42" xfId="0" applyNumberFormat="1" applyFont="1" applyFill="1" applyBorder="1" applyAlignment="1">
      <alignment horizontal="right" vertical="center"/>
    </xf>
    <xf numFmtId="206" fontId="1" fillId="0" borderId="0" xfId="0" applyNumberFormat="1" applyFont="1" applyFill="1" applyBorder="1" applyAlignment="1">
      <alignment horizontal="right" vertical="center"/>
    </xf>
    <xf numFmtId="206" fontId="1" fillId="0" borderId="20" xfId="0" applyNumberFormat="1" applyFont="1" applyFill="1" applyBorder="1" applyAlignment="1">
      <alignment horizontal="right" vertical="center"/>
    </xf>
    <xf numFmtId="180" fontId="1" fillId="0" borderId="0" xfId="0" applyNumberFormat="1" applyFont="1" applyBorder="1" applyAlignment="1">
      <alignment horizontal="right" vertical="center"/>
    </xf>
    <xf numFmtId="180" fontId="1" fillId="0" borderId="20" xfId="0" applyNumberFormat="1" applyFont="1" applyBorder="1" applyAlignment="1">
      <alignment horizontal="right" vertical="center"/>
    </xf>
    <xf numFmtId="179" fontId="1" fillId="0" borderId="20" xfId="0" applyNumberFormat="1" applyFont="1" applyBorder="1" applyAlignment="1">
      <alignment horizontal="right" vertical="center"/>
    </xf>
    <xf numFmtId="0" fontId="1" fillId="0" borderId="0" xfId="6" applyFont="1" applyBorder="1" applyAlignment="1">
      <alignment horizontal="center" vertical="center"/>
    </xf>
    <xf numFmtId="0" fontId="1" fillId="0" borderId="0" xfId="6" applyFont="1" applyAlignment="1">
      <alignment horizontal="center" vertical="center"/>
    </xf>
    <xf numFmtId="0" fontId="4" fillId="0" borderId="0" xfId="6" applyFont="1" applyBorder="1" applyAlignment="1">
      <alignment horizontal="center" vertical="center"/>
    </xf>
    <xf numFmtId="0" fontId="1" fillId="0" borderId="13" xfId="4" applyNumberFormat="1" applyFont="1" applyFill="1" applyBorder="1" applyAlignment="1">
      <alignment horizontal="center" vertical="center"/>
    </xf>
  </cellXfs>
  <cellStyles count="8">
    <cellStyle name="パーセント" xfId="1" builtinId="5"/>
    <cellStyle name="桁区切り" xfId="7" builtinId="6"/>
    <cellStyle name="桁区切り 2" xfId="2"/>
    <cellStyle name="桁区切り_02_人口_15～" xfId="3"/>
    <cellStyle name="標準" xfId="0" builtinId="0"/>
    <cellStyle name="標準 2" xfId="4"/>
    <cellStyle name="標準 3" xfId="5"/>
    <cellStyle name="標準_02_人口_15～" xfId="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3B3B3"/>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D320"/>
      <rgbColor rgb="00FF9900"/>
      <rgbColor rgb="00FF420E"/>
      <rgbColor rgb="00666699"/>
      <rgbColor rgb="00969696"/>
      <rgbColor rgb="00004586"/>
      <rgbColor rgb="00579D1C"/>
      <rgbColor rgb="00003300"/>
      <rgbColor rgb="00333300"/>
      <rgbColor rgb="00993300"/>
      <rgbColor rgb="00993366"/>
      <rgbColor rgb="00333399"/>
      <rgbColor rgb="00333333"/>
    </indexedColors>
    <mruColors>
      <color rgb="FF9F9F9F"/>
      <color rgb="FF9292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364829396325528E-2"/>
          <c:y val="6.6985645933014371E-2"/>
          <c:w val="0.79265091863518555"/>
          <c:h val="0.77033492822966509"/>
        </c:manualLayout>
      </c:layout>
      <c:barChart>
        <c:barDir val="col"/>
        <c:grouping val="stacked"/>
        <c:varyColors val="0"/>
        <c:ser>
          <c:idx val="1"/>
          <c:order val="0"/>
          <c:tx>
            <c:strRef>
              <c:f>グラフ!$I$4</c:f>
              <c:strCache>
                <c:ptCount val="1"/>
                <c:pt idx="0">
                  <c:v>男</c:v>
                </c:pt>
              </c:strCache>
            </c:strRef>
          </c:tx>
          <c:spPr>
            <a:solidFill>
              <a:schemeClr val="bg1">
                <a:lumMod val="75000"/>
              </a:schemeClr>
            </a:solidFill>
            <a:ln w="12700">
              <a:solidFill>
                <a:srgbClr val="000000"/>
              </a:solidFill>
              <a:prstDash val="solid"/>
            </a:ln>
          </c:spPr>
          <c:invertIfNegative val="0"/>
          <c:dPt>
            <c:idx val="6"/>
            <c:invertIfNegative val="0"/>
            <c:bubble3D val="0"/>
            <c:spPr>
              <a:solidFill>
                <a:schemeClr val="bg1">
                  <a:lumMod val="75000"/>
                </a:schemeClr>
              </a:solidFill>
              <a:ln w="12700">
                <a:solidFill>
                  <a:sysClr val="windowText" lastClr="000000"/>
                </a:solidFill>
                <a:prstDash val="solid"/>
              </a:ln>
            </c:spPr>
          </c:dPt>
          <c:dLbls>
            <c:dLbl>
              <c:idx val="7"/>
              <c:layout>
                <c:manualLayout>
                  <c:x val="1.0531136923299326E-2"/>
                  <c:y val="4.085536433903271E-2"/>
                </c:manualLayout>
              </c:layout>
              <c:showLegendKey val="0"/>
              <c:showVal val="1"/>
              <c:showCatName val="0"/>
              <c:showSerName val="0"/>
              <c:showPercent val="0"/>
              <c:showBubbleSize val="0"/>
              <c:extLst>
                <c:ext xmlns:c15="http://schemas.microsoft.com/office/drawing/2012/chart" uri="{CE6537A1-D6FC-4f65-9D91-7224C49458BB}"/>
              </c:extLst>
            </c:dLbl>
            <c:dLbl>
              <c:idx val="8"/>
              <c:layout>
                <c:manualLayout>
                  <c:x val="0"/>
                  <c:y val="7.5425288010521924E-2"/>
                </c:manualLayout>
              </c:layout>
              <c:showLegendKey val="0"/>
              <c:showVal val="1"/>
              <c:showCatName val="0"/>
              <c:showSerName val="0"/>
              <c:showPercent val="0"/>
              <c:showBubbleSize val="0"/>
              <c:extLst>
                <c:ext xmlns:c15="http://schemas.microsoft.com/office/drawing/2012/chart" uri="{CE6537A1-D6FC-4f65-9D91-7224C49458BB}"/>
              </c:extLst>
            </c:dLbl>
            <c:dLbl>
              <c:idx val="9"/>
              <c:layout>
                <c:manualLayout>
                  <c:x val="0"/>
                  <c:y val="4.0431715739708517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wrap="square" lIns="38100" tIns="19050" rIns="38100" bIns="19050" anchor="ctr">
                <a:spAutoFit/>
              </a:bodyPr>
              <a:lstStyle/>
              <a:p>
                <a:pPr>
                  <a:defRPr sz="105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グラフ!$H$5:$H$14</c:f>
              <c:strCache>
                <c:ptCount val="10"/>
                <c:pt idx="0">
                  <c:v>平成21年</c:v>
                </c:pt>
                <c:pt idx="1">
                  <c:v>22</c:v>
                </c:pt>
                <c:pt idx="2">
                  <c:v>23</c:v>
                </c:pt>
                <c:pt idx="3">
                  <c:v>24</c:v>
                </c:pt>
                <c:pt idx="4">
                  <c:v>25</c:v>
                </c:pt>
                <c:pt idx="5">
                  <c:v>26</c:v>
                </c:pt>
                <c:pt idx="6">
                  <c:v>27</c:v>
                </c:pt>
                <c:pt idx="7">
                  <c:v>28</c:v>
                </c:pt>
                <c:pt idx="8">
                  <c:v>29</c:v>
                </c:pt>
                <c:pt idx="9">
                  <c:v>30</c:v>
                </c:pt>
              </c:strCache>
            </c:strRef>
          </c:cat>
          <c:val>
            <c:numRef>
              <c:f>グラフ!$I$5:$I$14</c:f>
              <c:numCache>
                <c:formatCode>#,##0_);[Red]\(#,##0\)</c:formatCode>
                <c:ptCount val="10"/>
                <c:pt idx="0">
                  <c:v>54426</c:v>
                </c:pt>
                <c:pt idx="1">
                  <c:v>54612</c:v>
                </c:pt>
                <c:pt idx="2">
                  <c:v>54927</c:v>
                </c:pt>
                <c:pt idx="3">
                  <c:v>55780</c:v>
                </c:pt>
                <c:pt idx="4">
                  <c:v>55949</c:v>
                </c:pt>
                <c:pt idx="5">
                  <c:v>55850</c:v>
                </c:pt>
                <c:pt idx="6">
                  <c:v>55729</c:v>
                </c:pt>
                <c:pt idx="7">
                  <c:v>55787</c:v>
                </c:pt>
                <c:pt idx="8">
                  <c:v>55782</c:v>
                </c:pt>
                <c:pt idx="9">
                  <c:v>55824</c:v>
                </c:pt>
              </c:numCache>
            </c:numRef>
          </c:val>
        </c:ser>
        <c:ser>
          <c:idx val="0"/>
          <c:order val="1"/>
          <c:tx>
            <c:strRef>
              <c:f>グラフ!$J$4</c:f>
              <c:strCache>
                <c:ptCount val="1"/>
                <c:pt idx="0">
                  <c:v>女</c:v>
                </c:pt>
              </c:strCache>
            </c:strRef>
          </c:tx>
          <c:spPr>
            <a:solidFill>
              <a:schemeClr val="bg1">
                <a:lumMod val="95000"/>
              </a:schemeClr>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sz="105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グラフ!$H$5:$H$14</c:f>
              <c:strCache>
                <c:ptCount val="10"/>
                <c:pt idx="0">
                  <c:v>平成21年</c:v>
                </c:pt>
                <c:pt idx="1">
                  <c:v>22</c:v>
                </c:pt>
                <c:pt idx="2">
                  <c:v>23</c:v>
                </c:pt>
                <c:pt idx="3">
                  <c:v>24</c:v>
                </c:pt>
                <c:pt idx="4">
                  <c:v>25</c:v>
                </c:pt>
                <c:pt idx="5">
                  <c:v>26</c:v>
                </c:pt>
                <c:pt idx="6">
                  <c:v>27</c:v>
                </c:pt>
                <c:pt idx="7">
                  <c:v>28</c:v>
                </c:pt>
                <c:pt idx="8">
                  <c:v>29</c:v>
                </c:pt>
                <c:pt idx="9">
                  <c:v>30</c:v>
                </c:pt>
              </c:strCache>
            </c:strRef>
          </c:cat>
          <c:val>
            <c:numRef>
              <c:f>グラフ!$J$5:$J$14</c:f>
              <c:numCache>
                <c:formatCode>#,##0_);[Red]\(#,##0\)</c:formatCode>
                <c:ptCount val="10"/>
                <c:pt idx="0">
                  <c:v>56563</c:v>
                </c:pt>
                <c:pt idx="1">
                  <c:v>56983</c:v>
                </c:pt>
                <c:pt idx="2">
                  <c:v>57350</c:v>
                </c:pt>
                <c:pt idx="3">
                  <c:v>57965</c:v>
                </c:pt>
                <c:pt idx="4">
                  <c:v>58268</c:v>
                </c:pt>
                <c:pt idx="5">
                  <c:v>58395</c:v>
                </c:pt>
                <c:pt idx="6">
                  <c:v>58436</c:v>
                </c:pt>
                <c:pt idx="7">
                  <c:v>58550</c:v>
                </c:pt>
                <c:pt idx="8">
                  <c:v>58590</c:v>
                </c:pt>
                <c:pt idx="9">
                  <c:v>58707</c:v>
                </c:pt>
              </c:numCache>
            </c:numRef>
          </c:val>
        </c:ser>
        <c:dLbls>
          <c:showLegendKey val="0"/>
          <c:showVal val="1"/>
          <c:showCatName val="0"/>
          <c:showSerName val="0"/>
          <c:showPercent val="0"/>
          <c:showBubbleSize val="0"/>
        </c:dLbls>
        <c:gapWidth val="20"/>
        <c:overlap val="100"/>
        <c:axId val="250500384"/>
        <c:axId val="250496464"/>
      </c:barChart>
      <c:lineChart>
        <c:grouping val="standard"/>
        <c:varyColors val="0"/>
        <c:ser>
          <c:idx val="2"/>
          <c:order val="2"/>
          <c:tx>
            <c:strRef>
              <c:f>グラフ!$K$4</c:f>
              <c:strCache>
                <c:ptCount val="1"/>
                <c:pt idx="0">
                  <c:v>上昇率</c:v>
                </c:pt>
              </c:strCache>
            </c:strRef>
          </c:tx>
          <c:spPr>
            <a:ln w="25400">
              <a:solidFill>
                <a:srgbClr val="000000"/>
              </a:solidFill>
              <a:prstDash val="solid"/>
            </a:ln>
          </c:spPr>
          <c:marker>
            <c:symbol val="circle"/>
            <c:size val="7"/>
            <c:spPr>
              <a:solidFill>
                <a:srgbClr val="FFFFFF"/>
              </a:solidFill>
              <a:ln>
                <a:solidFill>
                  <a:srgbClr val="000000"/>
                </a:solidFill>
                <a:prstDash val="solid"/>
              </a:ln>
            </c:spPr>
          </c:marker>
          <c:dLbls>
            <c:dLbl>
              <c:idx val="0"/>
              <c:layout>
                <c:manualLayout>
                  <c:x val="-5.8853824374315432E-2"/>
                  <c:y val="-4.5215185422396366E-2"/>
                </c:manualLayout>
              </c:layout>
              <c:dLblPos val="r"/>
              <c:showLegendKey val="0"/>
              <c:showVal val="1"/>
              <c:showCatName val="0"/>
              <c:showSerName val="0"/>
              <c:showPercent val="0"/>
              <c:showBubbleSize val="0"/>
              <c:extLst>
                <c:ext xmlns:c15="http://schemas.microsoft.com/office/drawing/2012/chart" uri="{CE6537A1-D6FC-4f65-9D91-7224C49458BB}"/>
              </c:extLst>
            </c:dLbl>
            <c:dLbl>
              <c:idx val="1"/>
              <c:layout>
                <c:manualLayout>
                  <c:x val="-5.8853852972613793E-2"/>
                  <c:y val="4.1097626008856476E-2"/>
                </c:manualLayout>
              </c:layout>
              <c:dLblPos val="r"/>
              <c:showLegendKey val="0"/>
              <c:showVal val="1"/>
              <c:showCatName val="0"/>
              <c:showSerName val="0"/>
              <c:showPercent val="0"/>
              <c:showBubbleSize val="0"/>
              <c:extLst>
                <c:ext xmlns:c15="http://schemas.microsoft.com/office/drawing/2012/chart" uri="{CE6537A1-D6FC-4f65-9D91-7224C49458BB}"/>
              </c:extLst>
            </c:dLbl>
            <c:dLbl>
              <c:idx val="2"/>
              <c:layout>
                <c:manualLayout>
                  <c:x val="-5.640413058603895E-2"/>
                  <c:y val="3.8755980861244016E-2"/>
                </c:manualLayout>
              </c:layout>
              <c:dLblPos val="r"/>
              <c:showLegendKey val="0"/>
              <c:showVal val="1"/>
              <c:showCatName val="0"/>
              <c:showSerName val="0"/>
              <c:showPercent val="0"/>
              <c:showBubbleSize val="0"/>
              <c:extLst>
                <c:ext xmlns:c15="http://schemas.microsoft.com/office/drawing/2012/chart" uri="{CE6537A1-D6FC-4f65-9D91-7224C49458BB}"/>
              </c:extLst>
            </c:dLbl>
            <c:dLbl>
              <c:idx val="3"/>
              <c:layout>
                <c:manualLayout>
                  <c:x val="-0.10556013624692949"/>
                  <c:y val="-5.1951394241892953E-3"/>
                </c:manualLayout>
              </c:layout>
              <c:dLblPos val="r"/>
              <c:showLegendKey val="0"/>
              <c:showVal val="1"/>
              <c:showCatName val="0"/>
              <c:showSerName val="0"/>
              <c:showPercent val="0"/>
              <c:showBubbleSize val="0"/>
              <c:extLst>
                <c:ext xmlns:c15="http://schemas.microsoft.com/office/drawing/2012/chart" uri="{CE6537A1-D6FC-4f65-9D91-7224C49458BB}"/>
              </c:extLst>
            </c:dLbl>
            <c:dLbl>
              <c:idx val="4"/>
              <c:layout>
                <c:manualLayout>
                  <c:x val="-6.3414028745857678E-2"/>
                  <c:y val="4.9172685058592056E-2"/>
                </c:manualLayout>
              </c:layout>
              <c:dLblPos val="r"/>
              <c:showLegendKey val="0"/>
              <c:showVal val="1"/>
              <c:showCatName val="0"/>
              <c:showSerName val="0"/>
              <c:showPercent val="0"/>
              <c:showBubbleSize val="0"/>
              <c:extLst>
                <c:ext xmlns:c15="http://schemas.microsoft.com/office/drawing/2012/chart" uri="{CE6537A1-D6FC-4f65-9D91-7224C49458BB}"/>
              </c:extLst>
            </c:dLbl>
            <c:dLbl>
              <c:idx val="5"/>
              <c:layout>
                <c:manualLayout>
                  <c:x val="-5.9914429675361876E-2"/>
                  <c:y val="5.1280039890276879E-2"/>
                </c:manualLayout>
              </c:layout>
              <c:spPr>
                <a:noFill/>
                <a:ln>
                  <a:noFill/>
                </a:ln>
                <a:effectLst/>
              </c:spPr>
              <c:txPr>
                <a:bodyPr wrap="square" lIns="38100" tIns="19050" rIns="38100" bIns="19050" anchor="ctr">
                  <a:noAutofit/>
                </a:bodyPr>
                <a:lstStyle/>
                <a:p>
                  <a:pPr>
                    <a:defRPr sz="1050"/>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7.9457566290190032E-2"/>
                      <c:h val="6.4897174892386569E-2"/>
                    </c:manualLayout>
                  </c15:layout>
                </c:ext>
              </c:extLst>
            </c:dLbl>
            <c:dLbl>
              <c:idx val="6"/>
              <c:layout>
                <c:manualLayout>
                  <c:x val="-6.6935187624228093E-2"/>
                  <c:y val="4.0298335719243718E-2"/>
                </c:manualLayout>
              </c:layout>
              <c:dLblPos val="r"/>
              <c:showLegendKey val="0"/>
              <c:showVal val="1"/>
              <c:showCatName val="0"/>
              <c:showSerName val="0"/>
              <c:showPercent val="0"/>
              <c:showBubbleSize val="0"/>
              <c:extLst>
                <c:ext xmlns:c15="http://schemas.microsoft.com/office/drawing/2012/chart" uri="{CE6537A1-D6FC-4f65-9D91-7224C49458BB}"/>
              </c:extLst>
            </c:dLbl>
            <c:dLbl>
              <c:idx val="7"/>
              <c:layout>
                <c:manualLayout>
                  <c:x val="-5.638249089305436E-2"/>
                  <c:y val="-3.4530577802743684E-2"/>
                </c:manualLayout>
              </c:layout>
              <c:dLblPos val="r"/>
              <c:showLegendKey val="0"/>
              <c:showVal val="1"/>
              <c:showCatName val="0"/>
              <c:showSerName val="0"/>
              <c:showPercent val="0"/>
              <c:showBubbleSize val="0"/>
              <c:extLst>
                <c:ext xmlns:c15="http://schemas.microsoft.com/office/drawing/2012/chart" uri="{CE6537A1-D6FC-4f65-9D91-7224C49458BB}"/>
              </c:extLst>
            </c:dLbl>
            <c:dLbl>
              <c:idx val="8"/>
              <c:layout>
                <c:manualLayout>
                  <c:x val="-5.9903693140719617E-2"/>
                  <c:y val="-4.5135566188197765E-2"/>
                </c:manualLayout>
              </c:layout>
              <c:dLblPos val="r"/>
              <c:showLegendKey val="0"/>
              <c:showVal val="1"/>
              <c:showCatName val="0"/>
              <c:showSerName val="0"/>
              <c:showPercent val="0"/>
              <c:showBubbleSize val="0"/>
              <c:extLst>
                <c:ext xmlns:c15="http://schemas.microsoft.com/office/drawing/2012/chart" uri="{CE6537A1-D6FC-4f65-9D91-7224C49458BB}"/>
              </c:extLst>
            </c:dLbl>
            <c:dLbl>
              <c:idx val="9"/>
              <c:layout>
                <c:manualLayout>
                  <c:x val="-5.2915507942163459E-2"/>
                  <c:y val="-3.9859097247397779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wrap="square" lIns="38100" tIns="19050" rIns="38100" bIns="19050" anchor="ctr">
                <a:spAutoFit/>
              </a:bodyPr>
              <a:lstStyle/>
              <a:p>
                <a:pPr>
                  <a:defRPr sz="105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グラフ!$H$5:$H$13</c:f>
              <c:strCache>
                <c:ptCount val="9"/>
                <c:pt idx="0">
                  <c:v>平成21年</c:v>
                </c:pt>
                <c:pt idx="1">
                  <c:v>22</c:v>
                </c:pt>
                <c:pt idx="2">
                  <c:v>23</c:v>
                </c:pt>
                <c:pt idx="3">
                  <c:v>24</c:v>
                </c:pt>
                <c:pt idx="4">
                  <c:v>25</c:v>
                </c:pt>
                <c:pt idx="5">
                  <c:v>26</c:v>
                </c:pt>
                <c:pt idx="6">
                  <c:v>27</c:v>
                </c:pt>
                <c:pt idx="7">
                  <c:v>28</c:v>
                </c:pt>
                <c:pt idx="8">
                  <c:v>29</c:v>
                </c:pt>
              </c:strCache>
            </c:strRef>
          </c:cat>
          <c:val>
            <c:numRef>
              <c:f>グラフ!$K$5:$K$14</c:f>
              <c:numCache>
                <c:formatCode>0.0_ </c:formatCode>
                <c:ptCount val="10"/>
                <c:pt idx="0">
                  <c:v>0.7955743361954789</c:v>
                </c:pt>
                <c:pt idx="1">
                  <c:v>0.54303508221694519</c:v>
                </c:pt>
                <c:pt idx="2">
                  <c:v>0.60742627608503974</c:v>
                </c:pt>
                <c:pt idx="3">
                  <c:v>1.2906061804914502</c:v>
                </c:pt>
                <c:pt idx="4">
                  <c:v>0.41324846563996598</c:v>
                </c:pt>
                <c:pt idx="5">
                  <c:v>2.4508731235502644E-2</c:v>
                </c:pt>
                <c:pt idx="6">
                  <c:v>-7.0074015679061005E-2</c:v>
                </c:pt>
                <c:pt idx="7">
                  <c:v>0.15043249341857842</c:v>
                </c:pt>
                <c:pt idx="8">
                  <c:v>3.060189556884552E-2</c:v>
                </c:pt>
                <c:pt idx="9">
                  <c:v>0.13882704246011998</c:v>
                </c:pt>
              </c:numCache>
            </c:numRef>
          </c:val>
          <c:smooth val="0"/>
        </c:ser>
        <c:dLbls>
          <c:showLegendKey val="0"/>
          <c:showVal val="1"/>
          <c:showCatName val="0"/>
          <c:showSerName val="0"/>
          <c:showPercent val="0"/>
          <c:showBubbleSize val="0"/>
        </c:dLbls>
        <c:marker val="1"/>
        <c:smooth val="0"/>
        <c:axId val="250497248"/>
        <c:axId val="183751976"/>
      </c:lineChart>
      <c:catAx>
        <c:axId val="25050038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50496464"/>
        <c:crosses val="autoZero"/>
        <c:auto val="0"/>
        <c:lblAlgn val="ctr"/>
        <c:lblOffset val="100"/>
        <c:tickLblSkip val="3"/>
        <c:tickMarkSkip val="1"/>
        <c:noMultiLvlLbl val="0"/>
      </c:catAx>
      <c:valAx>
        <c:axId val="250496464"/>
        <c:scaling>
          <c:orientation val="minMax"/>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250500384"/>
        <c:crosses val="autoZero"/>
        <c:crossBetween val="between"/>
        <c:dispUnits>
          <c:builtInUnit val="tenThousands"/>
          <c:dispUnitsLbl>
            <c:layout>
              <c:manualLayout>
                <c:xMode val="edge"/>
                <c:yMode val="edge"/>
                <c:x val="5.7742782152232136E-2"/>
                <c:y val="2.1531100478469657E-2"/>
              </c:manualLayout>
            </c:layout>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万人</a:t>
                  </a:r>
                </a:p>
              </c:rich>
            </c:tx>
            <c:spPr>
              <a:noFill/>
              <a:ln w="25400">
                <a:noFill/>
              </a:ln>
            </c:spPr>
          </c:dispUnitsLbl>
        </c:dispUnits>
      </c:valAx>
      <c:catAx>
        <c:axId val="250497248"/>
        <c:scaling>
          <c:orientation val="minMax"/>
        </c:scaling>
        <c:delete val="1"/>
        <c:axPos val="b"/>
        <c:numFmt formatCode="General" sourceLinked="1"/>
        <c:majorTickMark val="out"/>
        <c:minorTickMark val="none"/>
        <c:tickLblPos val="none"/>
        <c:crossAx val="183751976"/>
        <c:crosses val="autoZero"/>
        <c:auto val="0"/>
        <c:lblAlgn val="ctr"/>
        <c:lblOffset val="100"/>
        <c:noMultiLvlLbl val="0"/>
      </c:catAx>
      <c:valAx>
        <c:axId val="183751976"/>
        <c:scaling>
          <c:orientation val="minMax"/>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84514435695538725"/>
              <c:y val="2.1531100478469477E-2"/>
            </c:manualLayout>
          </c:layout>
          <c:overlay val="0"/>
          <c:spPr>
            <a:noFill/>
            <a:ln w="25400">
              <a:noFill/>
            </a:ln>
          </c:spPr>
        </c:title>
        <c:numFmt formatCode="0.0_ "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50497248"/>
        <c:crosses val="max"/>
        <c:crossBetween val="between"/>
      </c:valAx>
      <c:spPr>
        <a:noFill/>
        <a:ln w="12700">
          <a:solidFill>
            <a:srgbClr val="000000"/>
          </a:solidFill>
          <a:prstDash val="solid"/>
        </a:ln>
      </c:spPr>
    </c:plotArea>
    <c:legend>
      <c:legendPos val="b"/>
      <c:layout>
        <c:manualLayout>
          <c:xMode val="edge"/>
          <c:yMode val="edge"/>
          <c:x val="0.16010498687664043"/>
          <c:y val="0.9306220095693839"/>
          <c:w val="0.67454068241470833"/>
          <c:h val="6.2200956937798924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335375954989548"/>
          <c:y val="6.2500141285403293E-2"/>
          <c:w val="0.7764361906925491"/>
          <c:h val="0.78472399613895261"/>
        </c:manualLayout>
      </c:layout>
      <c:barChart>
        <c:barDir val="col"/>
        <c:grouping val="stacked"/>
        <c:varyColors val="0"/>
        <c:ser>
          <c:idx val="0"/>
          <c:order val="0"/>
          <c:tx>
            <c:strRef>
              <c:f>グラフ!$I$187</c:f>
              <c:strCache>
                <c:ptCount val="1"/>
                <c:pt idx="0">
                  <c:v>年少人口</c:v>
                </c:pt>
              </c:strCache>
            </c:strRef>
          </c:tx>
          <c:spPr>
            <a:pattFill prst="wd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グラフ!$H$188:$H$190</c:f>
              <c:strCache>
                <c:ptCount val="3"/>
                <c:pt idx="0">
                  <c:v>平成17年</c:v>
                </c:pt>
                <c:pt idx="1">
                  <c:v>22年</c:v>
                </c:pt>
                <c:pt idx="2">
                  <c:v>27年</c:v>
                </c:pt>
              </c:strCache>
            </c:strRef>
          </c:cat>
          <c:val>
            <c:numRef>
              <c:f>グラフ!$I$188:$I$190</c:f>
              <c:numCache>
                <c:formatCode>#,##0_);[Red]\(#,##0\)</c:formatCode>
                <c:ptCount val="3"/>
                <c:pt idx="0">
                  <c:v>21528</c:v>
                </c:pt>
                <c:pt idx="1">
                  <c:v>21264</c:v>
                </c:pt>
                <c:pt idx="2">
                  <c:v>20910</c:v>
                </c:pt>
              </c:numCache>
            </c:numRef>
          </c:val>
        </c:ser>
        <c:ser>
          <c:idx val="1"/>
          <c:order val="1"/>
          <c:tx>
            <c:strRef>
              <c:f>グラフ!$J$187</c:f>
              <c:strCache>
                <c:ptCount val="1"/>
                <c:pt idx="0">
                  <c:v>生産年齢人口</c:v>
                </c:pt>
              </c:strCache>
            </c:strRef>
          </c:tx>
          <c:spPr>
            <a:pattFill prst="pct10">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グラフ!$H$188:$H$190</c:f>
              <c:strCache>
                <c:ptCount val="3"/>
                <c:pt idx="0">
                  <c:v>平成17年</c:v>
                </c:pt>
                <c:pt idx="1">
                  <c:v>22年</c:v>
                </c:pt>
                <c:pt idx="2">
                  <c:v>27年</c:v>
                </c:pt>
              </c:strCache>
            </c:strRef>
          </c:cat>
          <c:val>
            <c:numRef>
              <c:f>グラフ!$J$188:$J$190</c:f>
              <c:numCache>
                <c:formatCode>#,##0_);[Red]\(#,##0\)</c:formatCode>
                <c:ptCount val="3"/>
                <c:pt idx="0">
                  <c:v>71343</c:v>
                </c:pt>
                <c:pt idx="1">
                  <c:v>72687</c:v>
                </c:pt>
                <c:pt idx="2">
                  <c:v>72626</c:v>
                </c:pt>
              </c:numCache>
            </c:numRef>
          </c:val>
        </c:ser>
        <c:ser>
          <c:idx val="2"/>
          <c:order val="2"/>
          <c:tx>
            <c:strRef>
              <c:f>グラフ!$K$187</c:f>
              <c:strCache>
                <c:ptCount val="1"/>
                <c:pt idx="0">
                  <c:v>老年人口</c:v>
                </c:pt>
              </c:strCache>
            </c:strRef>
          </c:tx>
          <c:spPr>
            <a:pattFill prst="openDmnd">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グラフ!$H$188:$H$190</c:f>
              <c:strCache>
                <c:ptCount val="3"/>
                <c:pt idx="0">
                  <c:v>平成17年</c:v>
                </c:pt>
                <c:pt idx="1">
                  <c:v>22年</c:v>
                </c:pt>
                <c:pt idx="2">
                  <c:v>27年</c:v>
                </c:pt>
              </c:strCache>
            </c:strRef>
          </c:cat>
          <c:val>
            <c:numRef>
              <c:f>グラフ!$K$188:$K$190</c:f>
              <c:numCache>
                <c:formatCode>#,##0_);[Red]\(#,##0\)</c:formatCode>
                <c:ptCount val="3"/>
                <c:pt idx="0">
                  <c:v>13169</c:v>
                </c:pt>
                <c:pt idx="1">
                  <c:v>15846</c:v>
                </c:pt>
                <c:pt idx="2">
                  <c:v>19476</c:v>
                </c:pt>
              </c:numCache>
            </c:numRef>
          </c:val>
        </c:ser>
        <c:dLbls>
          <c:showLegendKey val="0"/>
          <c:showVal val="0"/>
          <c:showCatName val="0"/>
          <c:showSerName val="0"/>
          <c:showPercent val="0"/>
          <c:showBubbleSize val="0"/>
        </c:dLbls>
        <c:gapWidth val="40"/>
        <c:overlap val="100"/>
        <c:serLines>
          <c:spPr>
            <a:ln w="3175">
              <a:solidFill>
                <a:srgbClr val="000000"/>
              </a:solidFill>
              <a:prstDash val="solid"/>
            </a:ln>
          </c:spPr>
        </c:serLines>
        <c:axId val="488558112"/>
        <c:axId val="488557328"/>
      </c:barChart>
      <c:catAx>
        <c:axId val="48855811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88557328"/>
        <c:crosses val="autoZero"/>
        <c:auto val="1"/>
        <c:lblAlgn val="ctr"/>
        <c:lblOffset val="100"/>
        <c:tickLblSkip val="1"/>
        <c:tickMarkSkip val="1"/>
        <c:noMultiLvlLbl val="0"/>
      </c:catAx>
      <c:valAx>
        <c:axId val="488557328"/>
        <c:scaling>
          <c:orientation val="minMax"/>
        </c:scaling>
        <c:delete val="0"/>
        <c:axPos val="l"/>
        <c:title>
          <c:tx>
            <c:rich>
              <a:bodyPr rot="-6000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7824805131987079"/>
              <c:y val="1.1574074074074073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88558112"/>
        <c:crosses val="autoZero"/>
        <c:crossBetween val="between"/>
      </c:valAx>
      <c:spPr>
        <a:noFill/>
        <a:ln w="12700">
          <a:solidFill>
            <a:srgbClr val="000000"/>
          </a:solidFill>
          <a:prstDash val="solid"/>
        </a:ln>
      </c:spPr>
    </c:plotArea>
    <c:legend>
      <c:legendPos val="b"/>
      <c:layout>
        <c:manualLayout>
          <c:xMode val="edge"/>
          <c:yMode val="edge"/>
          <c:x val="9.6676737160120832E-2"/>
          <c:y val="0.91898148148148162"/>
          <c:w val="0.89123867069486462"/>
          <c:h val="7.407407407407407E-2"/>
        </c:manualLayout>
      </c:layout>
      <c:overlay val="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2075537727595838"/>
          <c:y val="2.1611001964636542E-2"/>
        </c:manualLayout>
      </c:layout>
      <c:overlay val="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title>
    <c:autoTitleDeleted val="0"/>
    <c:plotArea>
      <c:layout>
        <c:manualLayout>
          <c:layoutTarget val="inner"/>
          <c:xMode val="edge"/>
          <c:yMode val="edge"/>
          <c:x val="4.8218128067118851E-2"/>
          <c:y val="7.269155206286837E-2"/>
          <c:w val="0.63941430697701052"/>
          <c:h val="0.86640471512770134"/>
        </c:manualLayout>
      </c:layout>
      <c:barChart>
        <c:barDir val="bar"/>
        <c:grouping val="clustered"/>
        <c:varyColors val="0"/>
        <c:ser>
          <c:idx val="0"/>
          <c:order val="0"/>
          <c:tx>
            <c:strRef>
              <c:f>グラフ!$N$186</c:f>
              <c:strCache>
                <c:ptCount val="1"/>
                <c:pt idx="0">
                  <c:v>男</c:v>
                </c:pt>
              </c:strCache>
            </c:strRef>
          </c:tx>
          <c:spPr>
            <a:pattFill prst="pct5">
              <a:fgClr>
                <a:srgbClr val="000000"/>
              </a:fgClr>
              <a:bgClr>
                <a:srgbClr val="000000"/>
              </a:bgClr>
            </a:pattFill>
            <a:ln w="12700">
              <a:solidFill>
                <a:srgbClr val="000000"/>
              </a:solidFill>
              <a:prstDash val="solid"/>
            </a:ln>
          </c:spPr>
          <c:invertIfNegative val="0"/>
          <c:cat>
            <c:strRef>
              <c:f>グラフ!$M$187:$M$287</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100歳以上</c:v>
                </c:pt>
              </c:strCache>
            </c:strRef>
          </c:cat>
          <c:val>
            <c:numRef>
              <c:f>グラフ!$N$187:$N$287</c:f>
              <c:numCache>
                <c:formatCode>General</c:formatCode>
                <c:ptCount val="101"/>
                <c:pt idx="0">
                  <c:v>668</c:v>
                </c:pt>
                <c:pt idx="1">
                  <c:v>672</c:v>
                </c:pt>
                <c:pt idx="2">
                  <c:v>676</c:v>
                </c:pt>
                <c:pt idx="3">
                  <c:v>750</c:v>
                </c:pt>
                <c:pt idx="4">
                  <c:v>681</c:v>
                </c:pt>
                <c:pt idx="5">
                  <c:v>719</c:v>
                </c:pt>
                <c:pt idx="6">
                  <c:v>717</c:v>
                </c:pt>
                <c:pt idx="7">
                  <c:v>673</c:v>
                </c:pt>
                <c:pt idx="8">
                  <c:v>727</c:v>
                </c:pt>
                <c:pt idx="9">
                  <c:v>736</c:v>
                </c:pt>
                <c:pt idx="10">
                  <c:v>661</c:v>
                </c:pt>
                <c:pt idx="11">
                  <c:v>736</c:v>
                </c:pt>
                <c:pt idx="12">
                  <c:v>748</c:v>
                </c:pt>
                <c:pt idx="13">
                  <c:v>702</c:v>
                </c:pt>
                <c:pt idx="14">
                  <c:v>776</c:v>
                </c:pt>
                <c:pt idx="15">
                  <c:v>711</c:v>
                </c:pt>
                <c:pt idx="16">
                  <c:v>753</c:v>
                </c:pt>
                <c:pt idx="17">
                  <c:v>785</c:v>
                </c:pt>
                <c:pt idx="18">
                  <c:v>676</c:v>
                </c:pt>
                <c:pt idx="19">
                  <c:v>579</c:v>
                </c:pt>
                <c:pt idx="20">
                  <c:v>559</c:v>
                </c:pt>
                <c:pt idx="21">
                  <c:v>571</c:v>
                </c:pt>
                <c:pt idx="22">
                  <c:v>570</c:v>
                </c:pt>
                <c:pt idx="23">
                  <c:v>592</c:v>
                </c:pt>
                <c:pt idx="24">
                  <c:v>617</c:v>
                </c:pt>
                <c:pt idx="25">
                  <c:v>594</c:v>
                </c:pt>
                <c:pt idx="26">
                  <c:v>601</c:v>
                </c:pt>
                <c:pt idx="27">
                  <c:v>607</c:v>
                </c:pt>
                <c:pt idx="28">
                  <c:v>686</c:v>
                </c:pt>
                <c:pt idx="29">
                  <c:v>712</c:v>
                </c:pt>
                <c:pt idx="30">
                  <c:v>701</c:v>
                </c:pt>
                <c:pt idx="31">
                  <c:v>710</c:v>
                </c:pt>
                <c:pt idx="32">
                  <c:v>748</c:v>
                </c:pt>
                <c:pt idx="33">
                  <c:v>698</c:v>
                </c:pt>
                <c:pt idx="34">
                  <c:v>711</c:v>
                </c:pt>
                <c:pt idx="35">
                  <c:v>724</c:v>
                </c:pt>
                <c:pt idx="36">
                  <c:v>757</c:v>
                </c:pt>
                <c:pt idx="37">
                  <c:v>783</c:v>
                </c:pt>
                <c:pt idx="38">
                  <c:v>766</c:v>
                </c:pt>
                <c:pt idx="39">
                  <c:v>806</c:v>
                </c:pt>
                <c:pt idx="40">
                  <c:v>908</c:v>
                </c:pt>
                <c:pt idx="41">
                  <c:v>963</c:v>
                </c:pt>
                <c:pt idx="42">
                  <c:v>927</c:v>
                </c:pt>
                <c:pt idx="43">
                  <c:v>881</c:v>
                </c:pt>
                <c:pt idx="44">
                  <c:v>854</c:v>
                </c:pt>
                <c:pt idx="45">
                  <c:v>799</c:v>
                </c:pt>
                <c:pt idx="46">
                  <c:v>836</c:v>
                </c:pt>
                <c:pt idx="47">
                  <c:v>813</c:v>
                </c:pt>
                <c:pt idx="48">
                  <c:v>806</c:v>
                </c:pt>
                <c:pt idx="49">
                  <c:v>624</c:v>
                </c:pt>
                <c:pt idx="50">
                  <c:v>700</c:v>
                </c:pt>
                <c:pt idx="51">
                  <c:v>713</c:v>
                </c:pt>
                <c:pt idx="52">
                  <c:v>703</c:v>
                </c:pt>
                <c:pt idx="53">
                  <c:v>629</c:v>
                </c:pt>
                <c:pt idx="54">
                  <c:v>718</c:v>
                </c:pt>
                <c:pt idx="55">
                  <c:v>675</c:v>
                </c:pt>
                <c:pt idx="56">
                  <c:v>691</c:v>
                </c:pt>
                <c:pt idx="57">
                  <c:v>687</c:v>
                </c:pt>
                <c:pt idx="58">
                  <c:v>621</c:v>
                </c:pt>
                <c:pt idx="59">
                  <c:v>614</c:v>
                </c:pt>
                <c:pt idx="60">
                  <c:v>655</c:v>
                </c:pt>
                <c:pt idx="61">
                  <c:v>653</c:v>
                </c:pt>
                <c:pt idx="62">
                  <c:v>689</c:v>
                </c:pt>
                <c:pt idx="63">
                  <c:v>691</c:v>
                </c:pt>
                <c:pt idx="64">
                  <c:v>686</c:v>
                </c:pt>
                <c:pt idx="65">
                  <c:v>698</c:v>
                </c:pt>
                <c:pt idx="66">
                  <c:v>655</c:v>
                </c:pt>
                <c:pt idx="67">
                  <c:v>702</c:v>
                </c:pt>
                <c:pt idx="68">
                  <c:v>557</c:v>
                </c:pt>
                <c:pt idx="69">
                  <c:v>271</c:v>
                </c:pt>
                <c:pt idx="70">
                  <c:v>297</c:v>
                </c:pt>
                <c:pt idx="71">
                  <c:v>404</c:v>
                </c:pt>
                <c:pt idx="72">
                  <c:v>396</c:v>
                </c:pt>
                <c:pt idx="73">
                  <c:v>430</c:v>
                </c:pt>
                <c:pt idx="74">
                  <c:v>446</c:v>
                </c:pt>
                <c:pt idx="75">
                  <c:v>415</c:v>
                </c:pt>
                <c:pt idx="76">
                  <c:v>387</c:v>
                </c:pt>
                <c:pt idx="77">
                  <c:v>395</c:v>
                </c:pt>
                <c:pt idx="78">
                  <c:v>343</c:v>
                </c:pt>
                <c:pt idx="79">
                  <c:v>341</c:v>
                </c:pt>
                <c:pt idx="80">
                  <c:v>297</c:v>
                </c:pt>
                <c:pt idx="81">
                  <c:v>261</c:v>
                </c:pt>
                <c:pt idx="82">
                  <c:v>264</c:v>
                </c:pt>
                <c:pt idx="83">
                  <c:v>215</c:v>
                </c:pt>
                <c:pt idx="84">
                  <c:v>140</c:v>
                </c:pt>
                <c:pt idx="85">
                  <c:v>170</c:v>
                </c:pt>
                <c:pt idx="86">
                  <c:v>121</c:v>
                </c:pt>
                <c:pt idx="87">
                  <c:v>103</c:v>
                </c:pt>
                <c:pt idx="88">
                  <c:v>76</c:v>
                </c:pt>
                <c:pt idx="89">
                  <c:v>58</c:v>
                </c:pt>
                <c:pt idx="90">
                  <c:v>42</c:v>
                </c:pt>
                <c:pt idx="91">
                  <c:v>41</c:v>
                </c:pt>
                <c:pt idx="92">
                  <c:v>41</c:v>
                </c:pt>
                <c:pt idx="93">
                  <c:v>20</c:v>
                </c:pt>
                <c:pt idx="94">
                  <c:v>18</c:v>
                </c:pt>
                <c:pt idx="95">
                  <c:v>7</c:v>
                </c:pt>
                <c:pt idx="96">
                  <c:v>10</c:v>
                </c:pt>
                <c:pt idx="97">
                  <c:v>9</c:v>
                </c:pt>
                <c:pt idx="98">
                  <c:v>0</c:v>
                </c:pt>
                <c:pt idx="99">
                  <c:v>9</c:v>
                </c:pt>
                <c:pt idx="100">
                  <c:v>10</c:v>
                </c:pt>
              </c:numCache>
            </c:numRef>
          </c:val>
        </c:ser>
        <c:dLbls>
          <c:showLegendKey val="0"/>
          <c:showVal val="0"/>
          <c:showCatName val="0"/>
          <c:showSerName val="0"/>
          <c:showPercent val="0"/>
          <c:showBubbleSize val="0"/>
        </c:dLbls>
        <c:gapWidth val="150"/>
        <c:axId val="488554584"/>
        <c:axId val="488558896"/>
      </c:barChart>
      <c:catAx>
        <c:axId val="488554584"/>
        <c:scaling>
          <c:orientation val="minMax"/>
        </c:scaling>
        <c:delete val="0"/>
        <c:axPos val="r"/>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88558896"/>
        <c:crosses val="autoZero"/>
        <c:auto val="1"/>
        <c:lblAlgn val="ctr"/>
        <c:lblOffset val="100"/>
        <c:tickLblSkip val="10"/>
        <c:tickMarkSkip val="1"/>
        <c:noMultiLvlLbl val="0"/>
      </c:catAx>
      <c:valAx>
        <c:axId val="488558896"/>
        <c:scaling>
          <c:orientation val="maxMin"/>
          <c:max val="1200"/>
        </c:scaling>
        <c:delete val="0"/>
        <c:axPos val="b"/>
        <c:majorGridlines>
          <c:spPr>
            <a:ln w="3175">
              <a:solidFill>
                <a:srgbClr val="FFFFFF"/>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88554584"/>
        <c:crosses val="autoZero"/>
        <c:crossBetween val="between"/>
        <c:majorUnit val="200"/>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8520710059171579"/>
          <c:y val="1.7821833535630181E-2"/>
        </c:manualLayout>
      </c:layout>
      <c:overlay val="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title>
    <c:autoTitleDeleted val="0"/>
    <c:plotArea>
      <c:layout>
        <c:manualLayout>
          <c:layoutTarget val="inner"/>
          <c:xMode val="edge"/>
          <c:yMode val="edge"/>
          <c:x val="6.5088757396449703E-2"/>
          <c:y val="7.1287197640003908E-2"/>
          <c:w val="0.86094674556213013"/>
          <c:h val="0.86732757128671423"/>
        </c:manualLayout>
      </c:layout>
      <c:barChart>
        <c:barDir val="bar"/>
        <c:grouping val="clustered"/>
        <c:varyColors val="0"/>
        <c:ser>
          <c:idx val="0"/>
          <c:order val="0"/>
          <c:tx>
            <c:strRef>
              <c:f>グラフ!$O$186</c:f>
              <c:strCache>
                <c:ptCount val="1"/>
                <c:pt idx="0">
                  <c:v>女</c:v>
                </c:pt>
              </c:strCache>
            </c:strRef>
          </c:tx>
          <c:spPr>
            <a:solidFill>
              <a:srgbClr val="000000"/>
            </a:solidFill>
            <a:ln w="12700">
              <a:solidFill>
                <a:srgbClr val="000000"/>
              </a:solidFill>
              <a:prstDash val="solid"/>
            </a:ln>
          </c:spPr>
          <c:invertIfNegative val="0"/>
          <c:val>
            <c:numRef>
              <c:f>グラフ!$O$187:$O$287</c:f>
              <c:numCache>
                <c:formatCode>General</c:formatCode>
                <c:ptCount val="101"/>
                <c:pt idx="0">
                  <c:v>699</c:v>
                </c:pt>
                <c:pt idx="1">
                  <c:v>646</c:v>
                </c:pt>
                <c:pt idx="2">
                  <c:v>684</c:v>
                </c:pt>
                <c:pt idx="3">
                  <c:v>711</c:v>
                </c:pt>
                <c:pt idx="4">
                  <c:v>716</c:v>
                </c:pt>
                <c:pt idx="5">
                  <c:v>678</c:v>
                </c:pt>
                <c:pt idx="6">
                  <c:v>682</c:v>
                </c:pt>
                <c:pt idx="7">
                  <c:v>715</c:v>
                </c:pt>
                <c:pt idx="8">
                  <c:v>668</c:v>
                </c:pt>
                <c:pt idx="9">
                  <c:v>691</c:v>
                </c:pt>
                <c:pt idx="10">
                  <c:v>595</c:v>
                </c:pt>
                <c:pt idx="11">
                  <c:v>670</c:v>
                </c:pt>
                <c:pt idx="12">
                  <c:v>680</c:v>
                </c:pt>
                <c:pt idx="13">
                  <c:v>696</c:v>
                </c:pt>
                <c:pt idx="14">
                  <c:v>737</c:v>
                </c:pt>
                <c:pt idx="15">
                  <c:v>744</c:v>
                </c:pt>
                <c:pt idx="16">
                  <c:v>730</c:v>
                </c:pt>
                <c:pt idx="17">
                  <c:v>710</c:v>
                </c:pt>
                <c:pt idx="18">
                  <c:v>657</c:v>
                </c:pt>
                <c:pt idx="19">
                  <c:v>559</c:v>
                </c:pt>
                <c:pt idx="20">
                  <c:v>605</c:v>
                </c:pt>
                <c:pt idx="21">
                  <c:v>556</c:v>
                </c:pt>
                <c:pt idx="22">
                  <c:v>593</c:v>
                </c:pt>
                <c:pt idx="23">
                  <c:v>588</c:v>
                </c:pt>
                <c:pt idx="24">
                  <c:v>586</c:v>
                </c:pt>
                <c:pt idx="25">
                  <c:v>601</c:v>
                </c:pt>
                <c:pt idx="26">
                  <c:v>616</c:v>
                </c:pt>
                <c:pt idx="27">
                  <c:v>648</c:v>
                </c:pt>
                <c:pt idx="28">
                  <c:v>669</c:v>
                </c:pt>
                <c:pt idx="29">
                  <c:v>728</c:v>
                </c:pt>
                <c:pt idx="30">
                  <c:v>754</c:v>
                </c:pt>
                <c:pt idx="31">
                  <c:v>793</c:v>
                </c:pt>
                <c:pt idx="32">
                  <c:v>773</c:v>
                </c:pt>
                <c:pt idx="33">
                  <c:v>746</c:v>
                </c:pt>
                <c:pt idx="34">
                  <c:v>761</c:v>
                </c:pt>
                <c:pt idx="35">
                  <c:v>779</c:v>
                </c:pt>
                <c:pt idx="36">
                  <c:v>806</c:v>
                </c:pt>
                <c:pt idx="37">
                  <c:v>826</c:v>
                </c:pt>
                <c:pt idx="38">
                  <c:v>836</c:v>
                </c:pt>
                <c:pt idx="39">
                  <c:v>868</c:v>
                </c:pt>
                <c:pt idx="40">
                  <c:v>906</c:v>
                </c:pt>
                <c:pt idx="41" formatCode="#,##0">
                  <c:v>1016</c:v>
                </c:pt>
                <c:pt idx="42">
                  <c:v>973</c:v>
                </c:pt>
                <c:pt idx="43">
                  <c:v>913</c:v>
                </c:pt>
                <c:pt idx="44">
                  <c:v>885</c:v>
                </c:pt>
                <c:pt idx="45">
                  <c:v>861</c:v>
                </c:pt>
                <c:pt idx="46">
                  <c:v>843</c:v>
                </c:pt>
                <c:pt idx="47">
                  <c:v>886</c:v>
                </c:pt>
                <c:pt idx="48">
                  <c:v>840</c:v>
                </c:pt>
                <c:pt idx="49">
                  <c:v>687</c:v>
                </c:pt>
                <c:pt idx="50">
                  <c:v>749</c:v>
                </c:pt>
                <c:pt idx="51">
                  <c:v>737</c:v>
                </c:pt>
                <c:pt idx="52">
                  <c:v>796</c:v>
                </c:pt>
                <c:pt idx="53">
                  <c:v>714</c:v>
                </c:pt>
                <c:pt idx="54">
                  <c:v>746</c:v>
                </c:pt>
                <c:pt idx="55">
                  <c:v>691</c:v>
                </c:pt>
                <c:pt idx="56">
                  <c:v>686</c:v>
                </c:pt>
                <c:pt idx="57">
                  <c:v>647</c:v>
                </c:pt>
                <c:pt idx="58">
                  <c:v>675</c:v>
                </c:pt>
                <c:pt idx="59">
                  <c:v>639</c:v>
                </c:pt>
                <c:pt idx="60">
                  <c:v>697</c:v>
                </c:pt>
                <c:pt idx="61">
                  <c:v>733</c:v>
                </c:pt>
                <c:pt idx="62">
                  <c:v>706</c:v>
                </c:pt>
                <c:pt idx="63">
                  <c:v>756</c:v>
                </c:pt>
                <c:pt idx="64">
                  <c:v>759</c:v>
                </c:pt>
                <c:pt idx="65">
                  <c:v>733</c:v>
                </c:pt>
                <c:pt idx="66">
                  <c:v>671</c:v>
                </c:pt>
                <c:pt idx="67">
                  <c:v>721</c:v>
                </c:pt>
                <c:pt idx="68">
                  <c:v>564</c:v>
                </c:pt>
                <c:pt idx="69">
                  <c:v>291</c:v>
                </c:pt>
                <c:pt idx="70">
                  <c:v>338</c:v>
                </c:pt>
                <c:pt idx="71">
                  <c:v>453</c:v>
                </c:pt>
                <c:pt idx="72">
                  <c:v>455</c:v>
                </c:pt>
                <c:pt idx="73">
                  <c:v>474</c:v>
                </c:pt>
                <c:pt idx="74">
                  <c:v>504</c:v>
                </c:pt>
                <c:pt idx="75">
                  <c:v>476</c:v>
                </c:pt>
                <c:pt idx="76">
                  <c:v>446</c:v>
                </c:pt>
                <c:pt idx="77">
                  <c:v>429</c:v>
                </c:pt>
                <c:pt idx="78">
                  <c:v>430</c:v>
                </c:pt>
                <c:pt idx="79">
                  <c:v>440</c:v>
                </c:pt>
                <c:pt idx="80">
                  <c:v>373</c:v>
                </c:pt>
                <c:pt idx="81">
                  <c:v>407</c:v>
                </c:pt>
                <c:pt idx="82">
                  <c:v>321</c:v>
                </c:pt>
                <c:pt idx="83">
                  <c:v>312</c:v>
                </c:pt>
                <c:pt idx="84">
                  <c:v>259</c:v>
                </c:pt>
                <c:pt idx="85">
                  <c:v>238</c:v>
                </c:pt>
                <c:pt idx="86">
                  <c:v>234</c:v>
                </c:pt>
                <c:pt idx="87">
                  <c:v>218</c:v>
                </c:pt>
                <c:pt idx="88">
                  <c:v>169</c:v>
                </c:pt>
                <c:pt idx="89">
                  <c:v>178</c:v>
                </c:pt>
                <c:pt idx="90">
                  <c:v>129</c:v>
                </c:pt>
                <c:pt idx="91">
                  <c:v>103</c:v>
                </c:pt>
                <c:pt idx="92">
                  <c:v>104</c:v>
                </c:pt>
                <c:pt idx="93">
                  <c:v>83</c:v>
                </c:pt>
                <c:pt idx="94">
                  <c:v>60</c:v>
                </c:pt>
                <c:pt idx="95">
                  <c:v>54</c:v>
                </c:pt>
                <c:pt idx="96">
                  <c:v>56</c:v>
                </c:pt>
                <c:pt idx="97">
                  <c:v>23</c:v>
                </c:pt>
                <c:pt idx="98">
                  <c:v>26</c:v>
                </c:pt>
                <c:pt idx="99">
                  <c:v>27</c:v>
                </c:pt>
                <c:pt idx="100">
                  <c:v>28</c:v>
                </c:pt>
              </c:numCache>
            </c:numRef>
          </c:val>
        </c:ser>
        <c:dLbls>
          <c:showLegendKey val="0"/>
          <c:showVal val="0"/>
          <c:showCatName val="0"/>
          <c:showSerName val="0"/>
          <c:showPercent val="0"/>
          <c:showBubbleSize val="0"/>
        </c:dLbls>
        <c:gapWidth val="150"/>
        <c:axId val="488556152"/>
        <c:axId val="488561248"/>
      </c:barChart>
      <c:catAx>
        <c:axId val="488556152"/>
        <c:scaling>
          <c:orientation val="minMax"/>
        </c:scaling>
        <c:delete val="1"/>
        <c:axPos val="l"/>
        <c:majorTickMark val="out"/>
        <c:minorTickMark val="none"/>
        <c:tickLblPos val="none"/>
        <c:crossAx val="488561248"/>
        <c:crosses val="autoZero"/>
        <c:auto val="1"/>
        <c:lblAlgn val="ctr"/>
        <c:lblOffset val="100"/>
        <c:noMultiLvlLbl val="0"/>
      </c:catAx>
      <c:valAx>
        <c:axId val="488561248"/>
        <c:scaling>
          <c:orientation val="minMax"/>
          <c:max val="1200"/>
        </c:scaling>
        <c:delete val="0"/>
        <c:axPos val="b"/>
        <c:majorGridlines>
          <c:spPr>
            <a:ln w="3175">
              <a:solidFill>
                <a:srgbClr val="FFFFFF"/>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88556152"/>
        <c:crosses val="autoZero"/>
        <c:crossBetween val="between"/>
        <c:majorUnit val="200"/>
      </c:valAx>
      <c:spPr>
        <a:noFill/>
        <a:ln w="12700">
          <a:solidFill>
            <a:srgbClr val="000000"/>
          </a:solidFill>
          <a:prstDash val="solid"/>
        </a:ln>
      </c:spPr>
    </c:plotArea>
    <c:plotVisOnly val="1"/>
    <c:dispBlanksAs val="gap"/>
    <c:showDLblsOverMax val="0"/>
  </c:chart>
  <c:spPr>
    <a:noFill/>
    <a:ln w="9525">
      <a:noFill/>
    </a:ln>
  </c:spPr>
  <c:txPr>
    <a:bodyPr/>
    <a:lstStyle/>
    <a:p>
      <a:pPr>
        <a:defRPr sz="5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04096158801262"/>
          <c:y val="4.1269969214934317E-2"/>
          <c:w val="0.83965134106707395"/>
          <c:h val="0.91428854876161159"/>
        </c:manualLayout>
      </c:layout>
      <c:doughnutChart>
        <c:varyColors val="1"/>
        <c:ser>
          <c:idx val="0"/>
          <c:order val="0"/>
          <c:spPr>
            <a:solidFill>
              <a:srgbClr val="9999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dPt>
          <c:dPt>
            <c:idx val="1"/>
            <c:bubble3D val="0"/>
            <c:spPr>
              <a:pattFill prst="pct10">
                <a:fgClr>
                  <a:srgbClr val="000000"/>
                </a:fgClr>
                <a:bgClr>
                  <a:srgbClr val="FFFFFF"/>
                </a:bgClr>
              </a:pattFill>
              <a:ln w="12700">
                <a:solidFill>
                  <a:srgbClr val="000000"/>
                </a:solidFill>
                <a:prstDash val="solid"/>
              </a:ln>
            </c:spPr>
          </c:dPt>
          <c:dPt>
            <c:idx val="2"/>
            <c:bubble3D val="0"/>
            <c:spPr>
              <a:pattFill prst="pct75">
                <a:fgClr>
                  <a:srgbClr val="000000"/>
                </a:fgClr>
                <a:bgClr>
                  <a:srgbClr val="FFFFFF"/>
                </a:bgClr>
              </a:pattFill>
              <a:ln w="12700">
                <a:solidFill>
                  <a:srgbClr val="000000"/>
                </a:solidFill>
                <a:prstDash val="solid"/>
              </a:ln>
            </c:spPr>
          </c:dPt>
          <c:dLbls>
            <c:dLbl>
              <c:idx val="0"/>
              <c:layout>
                <c:manualLayout>
                  <c:x val="9.2963889717867215E-3"/>
                  <c:y val="1.3337332833395818E-2"/>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15</a:t>
                    </a:r>
                    <a:r>
                      <a:rPr lang="ja-JP" altLang="en-US" sz="900" b="0" i="0" u="none" strike="noStrike" baseline="0">
                        <a:solidFill>
                          <a:srgbClr val="000000"/>
                        </a:solidFill>
                        <a:latin typeface="ＭＳ Ｐゴシック"/>
                        <a:ea typeface="ＭＳ Ｐゴシック"/>
                      </a:rPr>
                      <a:t>歳未満</a:t>
                    </a:r>
                  </a:p>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17%</a:t>
                    </a:r>
                  </a:p>
                </c:rich>
              </c:tx>
              <c:numFmt formatCode="#,##0_);[Red]\(#,##0\)" sourceLinked="0"/>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extLst>
            </c:dLbl>
            <c:dLbl>
              <c:idx val="1"/>
              <c:layout>
                <c:manualLayout>
                  <c:x val="3.8202717228841616E-2"/>
                  <c:y val="-4.8639097793964775E-2"/>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15</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64</a:t>
                    </a:r>
                    <a:r>
                      <a:rPr lang="ja-JP" altLang="en-US" sz="900" b="0" i="0" u="none" strike="noStrike" baseline="0">
                        <a:solidFill>
                          <a:srgbClr val="000000"/>
                        </a:solidFill>
                        <a:latin typeface="ＭＳ Ｐゴシック"/>
                        <a:ea typeface="ＭＳ Ｐゴシック"/>
                      </a:rPr>
                      <a:t>歳　 </a:t>
                    </a:r>
                    <a:r>
                      <a:rPr lang="en-US" altLang="ja-JP" sz="900" b="0" i="0" u="none" strike="noStrike" baseline="0">
                        <a:solidFill>
                          <a:srgbClr val="000000"/>
                        </a:solidFill>
                        <a:latin typeface="ＭＳ Ｐゴシック"/>
                        <a:ea typeface="ＭＳ Ｐゴシック"/>
                      </a:rPr>
                      <a:t>62%</a:t>
                    </a:r>
                  </a:p>
                </c:rich>
              </c:tx>
              <c:numFmt formatCode="#,##0_);[Red]\(#,##0\)" sourceLinked="0"/>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extLst>
            </c:dLbl>
            <c:dLbl>
              <c:idx val="2"/>
              <c:layout>
                <c:manualLayout>
                  <c:x val="-5.9123221842169371E-3"/>
                  <c:y val="8.5595967170773099E-3"/>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65</a:t>
                    </a:r>
                    <a:r>
                      <a:rPr lang="ja-JP" altLang="en-US" sz="900" b="0" i="0" u="none" strike="noStrike" baseline="0">
                        <a:solidFill>
                          <a:srgbClr val="000000"/>
                        </a:solidFill>
                        <a:latin typeface="ＭＳ Ｐゴシック"/>
                        <a:ea typeface="ＭＳ Ｐゴシック"/>
                      </a:rPr>
                      <a:t>歳以上</a:t>
                    </a:r>
                  </a:p>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21%</a:t>
                    </a:r>
                  </a:p>
                </c:rich>
              </c:tx>
              <c:numFmt formatCode="#,##0_);[Red]\(#,##0\)" sourceLinked="0"/>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extLst>
            </c:dLbl>
            <c:numFmt formatCode="#,##0_);[Red]\(#,##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1"/>
            <c:showSerName val="0"/>
            <c:showPercent val="1"/>
            <c:showBubbleSize val="0"/>
            <c:showLeaderLines val="0"/>
            <c:extLst>
              <c:ext xmlns:c15="http://schemas.microsoft.com/office/drawing/2012/chart" uri="{CE6537A1-D6FC-4f65-9D91-7224C49458BB}"/>
            </c:extLst>
          </c:dLbls>
          <c:cat>
            <c:strRef>
              <c:f>グラフ!$H$44:$H$46</c:f>
              <c:strCache>
                <c:ptCount val="3"/>
                <c:pt idx="0">
                  <c:v>15歳未満</c:v>
                </c:pt>
                <c:pt idx="1">
                  <c:v>15～64歳</c:v>
                </c:pt>
                <c:pt idx="2">
                  <c:v>65歳以上</c:v>
                </c:pt>
              </c:strCache>
            </c:strRef>
          </c:cat>
          <c:val>
            <c:numRef>
              <c:f>グラフ!$I$44:$I$46</c:f>
              <c:numCache>
                <c:formatCode>#,##0_);[Red]\(#,##0\)</c:formatCode>
                <c:ptCount val="3"/>
                <c:pt idx="0">
                  <c:v>9879</c:v>
                </c:pt>
                <c:pt idx="1">
                  <c:v>36690</c:v>
                </c:pt>
                <c:pt idx="2">
                  <c:v>12138</c:v>
                </c:pt>
              </c:numCache>
            </c:numRef>
          </c:val>
        </c:ser>
        <c:dLbls>
          <c:showLegendKey val="0"/>
          <c:showVal val="0"/>
          <c:showCatName val="1"/>
          <c:showSerName val="0"/>
          <c:showPercent val="1"/>
          <c:showBubbleSize val="0"/>
          <c:showLeaderLines val="0"/>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 footer="0.5"/>
    <c:pageSetup orientation="landscape" horizontalDpi="300" verticalDpi="30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120546608101516E-2"/>
          <c:y val="7.6530612244897961E-2"/>
          <c:w val="0.85993167398731085"/>
          <c:h val="0.72193877551020413"/>
        </c:manualLayout>
      </c:layout>
      <c:lineChart>
        <c:grouping val="standard"/>
        <c:varyColors val="0"/>
        <c:ser>
          <c:idx val="1"/>
          <c:order val="0"/>
          <c:tx>
            <c:strRef>
              <c:f>グラフ!$I$80</c:f>
              <c:strCache>
                <c:ptCount val="1"/>
                <c:pt idx="0">
                  <c:v>人口増加</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Lbls>
            <c:dLbl>
              <c:idx val="0"/>
              <c:layout>
                <c:manualLayout>
                  <c:x val="-1.1673764775651504E-2"/>
                  <c:y val="2.5108379409444572E-2"/>
                </c:manualLayout>
              </c:layout>
              <c:dLblPos val="r"/>
              <c:showLegendKey val="0"/>
              <c:showVal val="1"/>
              <c:showCatName val="0"/>
              <c:showSerName val="0"/>
              <c:showPercent val="0"/>
              <c:showBubbleSize val="0"/>
              <c:extLst>
                <c:ext xmlns:c15="http://schemas.microsoft.com/office/drawing/2012/chart" uri="{CE6537A1-D6FC-4f65-9D91-7224C49458BB}"/>
              </c:extLst>
            </c:dLbl>
            <c:dLbl>
              <c:idx val="2"/>
              <c:layout>
                <c:manualLayout>
                  <c:x val="-3.1241912284611987E-2"/>
                  <c:y val="5.347696185853458E-2"/>
                </c:manualLayout>
              </c:layout>
              <c:dLblPos val="r"/>
              <c:showLegendKey val="0"/>
              <c:showVal val="1"/>
              <c:showCatName val="0"/>
              <c:showSerName val="0"/>
              <c:showPercent val="0"/>
              <c:showBubbleSize val="0"/>
              <c:extLst>
                <c:ext xmlns:c15="http://schemas.microsoft.com/office/drawing/2012/chart" uri="{CE6537A1-D6FC-4f65-9D91-7224C49458BB}"/>
              </c:extLst>
            </c:dLbl>
            <c:dLbl>
              <c:idx val="3"/>
              <c:layout>
                <c:manualLayout>
                  <c:x val="-3.1241912284611987E-2"/>
                  <c:y val="3.3852388699439302E-2"/>
                </c:manualLayout>
              </c:layout>
              <c:dLblPos val="r"/>
              <c:showLegendKey val="0"/>
              <c:showVal val="1"/>
              <c:showCatName val="0"/>
              <c:showSerName val="0"/>
              <c:showPercent val="0"/>
              <c:showBubbleSize val="0"/>
              <c:extLst>
                <c:ext xmlns:c15="http://schemas.microsoft.com/office/drawing/2012/chart" uri="{CE6537A1-D6FC-4f65-9D91-7224C49458BB}"/>
              </c:extLst>
            </c:dLbl>
            <c:dLbl>
              <c:idx val="4"/>
              <c:layout>
                <c:manualLayout>
                  <c:x val="-3.7520127038729041E-2"/>
                  <c:y val="6.3289248438082285E-2"/>
                </c:manualLayout>
              </c:layout>
              <c:dLblPos val="r"/>
              <c:showLegendKey val="0"/>
              <c:showVal val="1"/>
              <c:showCatName val="0"/>
              <c:showSerName val="0"/>
              <c:showPercent val="0"/>
              <c:showBubbleSize val="0"/>
              <c:extLst>
                <c:ext xmlns:c15="http://schemas.microsoft.com/office/drawing/2012/chart" uri="{CE6537A1-D6FC-4f65-9D91-7224C49458BB}"/>
              </c:extLst>
            </c:dLbl>
            <c:dLbl>
              <c:idx val="7"/>
              <c:layout>
                <c:manualLayout>
                  <c:x val="-4.0829749868382122E-2"/>
                  <c:y val="5.8253968253968225E-2"/>
                </c:manualLayout>
              </c:layout>
              <c:dLblPos val="r"/>
              <c:showLegendKey val="0"/>
              <c:showVal val="1"/>
              <c:showCatName val="0"/>
              <c:showSerName val="0"/>
              <c:showPercent val="0"/>
              <c:showBubbleSize val="0"/>
              <c:extLst>
                <c:ext xmlns:c15="http://schemas.microsoft.com/office/drawing/2012/chart" uri="{CE6537A1-D6FC-4f65-9D91-7224C49458BB}"/>
              </c:extLst>
            </c:dLbl>
            <c:dLbl>
              <c:idx val="8"/>
              <c:layout>
                <c:manualLayout>
                  <c:x val="-3.1241912284611987E-2"/>
                  <c:y val="5.3476961858534643E-2"/>
                </c:manualLayout>
              </c:layout>
              <c:dLblPos val="r"/>
              <c:showLegendKey val="0"/>
              <c:showVal val="1"/>
              <c:showCatName val="0"/>
              <c:showSerName val="0"/>
              <c:showPercent val="0"/>
              <c:showBubbleSize val="0"/>
              <c:extLst>
                <c:ext xmlns:c15="http://schemas.microsoft.com/office/drawing/2012/chart" uri="{CE6537A1-D6FC-4f65-9D91-7224C49458BB}"/>
              </c:extLst>
            </c:dLbl>
            <c:dLbl>
              <c:idx val="10"/>
              <c:layout>
                <c:manualLayout>
                  <c:x val="-4.7357004590300601E-2"/>
                  <c:y val="6.8835636988663337E-2"/>
                </c:manualLayout>
              </c:layout>
              <c:dLblPos val="r"/>
              <c:showLegendKey val="0"/>
              <c:showVal val="1"/>
              <c:showCatName val="0"/>
              <c:showSerName val="0"/>
              <c:showPercent val="0"/>
              <c:showBubbleSize val="0"/>
              <c:extLst>
                <c:ext xmlns:c15="http://schemas.microsoft.com/office/drawing/2012/chart" uri="{CE6537A1-D6FC-4f65-9D91-7224C49458BB}"/>
              </c:extLst>
            </c:dLbl>
            <c:numFmt formatCode="#,##0_ " sourceLinked="0"/>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グラフ!$H$81:$H$91</c:f>
              <c:strCache>
                <c:ptCount val="11"/>
                <c:pt idx="0">
                  <c:v>平成20年</c:v>
                </c:pt>
                <c:pt idx="1">
                  <c:v>21</c:v>
                </c:pt>
                <c:pt idx="2">
                  <c:v>22</c:v>
                </c:pt>
                <c:pt idx="3">
                  <c:v>23</c:v>
                </c:pt>
                <c:pt idx="4">
                  <c:v>24</c:v>
                </c:pt>
                <c:pt idx="5">
                  <c:v>25</c:v>
                </c:pt>
                <c:pt idx="6">
                  <c:v>26</c:v>
                </c:pt>
                <c:pt idx="7">
                  <c:v>27</c:v>
                </c:pt>
                <c:pt idx="8">
                  <c:v>28</c:v>
                </c:pt>
                <c:pt idx="9">
                  <c:v>29</c:v>
                </c:pt>
                <c:pt idx="10">
                  <c:v>平成30年</c:v>
                </c:pt>
              </c:strCache>
            </c:strRef>
          </c:cat>
          <c:val>
            <c:numRef>
              <c:f>グラフ!$I$81:$I$91</c:f>
              <c:numCache>
                <c:formatCode>0_ </c:formatCode>
                <c:ptCount val="11"/>
                <c:pt idx="0">
                  <c:v>689</c:v>
                </c:pt>
                <c:pt idx="1">
                  <c:v>883</c:v>
                </c:pt>
                <c:pt idx="2">
                  <c:v>657</c:v>
                </c:pt>
                <c:pt idx="3">
                  <c:v>727</c:v>
                </c:pt>
                <c:pt idx="4">
                  <c:v>1573</c:v>
                </c:pt>
                <c:pt idx="5">
                  <c:v>494</c:v>
                </c:pt>
                <c:pt idx="6">
                  <c:v>28</c:v>
                </c:pt>
                <c:pt idx="7">
                  <c:v>-80</c:v>
                </c:pt>
                <c:pt idx="8">
                  <c:v>152</c:v>
                </c:pt>
                <c:pt idx="9">
                  <c:v>35</c:v>
                </c:pt>
                <c:pt idx="10">
                  <c:v>159</c:v>
                </c:pt>
              </c:numCache>
            </c:numRef>
          </c:val>
          <c:smooth val="0"/>
        </c:ser>
        <c:ser>
          <c:idx val="2"/>
          <c:order val="1"/>
          <c:tx>
            <c:strRef>
              <c:f>グラフ!$J$80</c:f>
              <c:strCache>
                <c:ptCount val="1"/>
                <c:pt idx="0">
                  <c:v>自然増加</c:v>
                </c:pt>
              </c:strCache>
            </c:strRef>
          </c:tx>
          <c:spPr>
            <a:ln w="12700">
              <a:solidFill>
                <a:srgbClr val="000000"/>
              </a:solidFill>
              <a:prstDash val="solid"/>
            </a:ln>
          </c:spPr>
          <c:marker>
            <c:symbol val="triangle"/>
            <c:size val="8"/>
            <c:spPr>
              <a:solidFill>
                <a:srgbClr val="FFFFFF"/>
              </a:solidFill>
              <a:ln>
                <a:solidFill>
                  <a:srgbClr val="000000"/>
                </a:solidFill>
                <a:prstDash val="solid"/>
              </a:ln>
            </c:spPr>
          </c:marker>
          <c:dLbls>
            <c:dLbl>
              <c:idx val="0"/>
              <c:layout>
                <c:manualLayout>
                  <c:x val="-1.312668424969003E-2"/>
                  <c:y val="-4.238083673308031E-2"/>
                </c:manualLayout>
              </c:layout>
              <c:dLblPos val="r"/>
              <c:showLegendKey val="0"/>
              <c:showVal val="1"/>
              <c:showCatName val="0"/>
              <c:showSerName val="0"/>
              <c:showPercent val="0"/>
              <c:showBubbleSize val="0"/>
              <c:extLst>
                <c:ext xmlns:c15="http://schemas.microsoft.com/office/drawing/2012/chart" uri="{CE6537A1-D6FC-4f65-9D91-7224C49458BB}"/>
              </c:extLst>
            </c:dLbl>
            <c:dLbl>
              <c:idx val="10"/>
              <c:layout>
                <c:manualLayout>
                  <c:x val="-4.343582235236701E-2"/>
                  <c:y val="-4.5555555555555613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グラフ!$H$81:$H$91</c:f>
              <c:strCache>
                <c:ptCount val="11"/>
                <c:pt idx="0">
                  <c:v>平成20年</c:v>
                </c:pt>
                <c:pt idx="1">
                  <c:v>21</c:v>
                </c:pt>
                <c:pt idx="2">
                  <c:v>22</c:v>
                </c:pt>
                <c:pt idx="3">
                  <c:v>23</c:v>
                </c:pt>
                <c:pt idx="4">
                  <c:v>24</c:v>
                </c:pt>
                <c:pt idx="5">
                  <c:v>25</c:v>
                </c:pt>
                <c:pt idx="6">
                  <c:v>26</c:v>
                </c:pt>
                <c:pt idx="7">
                  <c:v>27</c:v>
                </c:pt>
                <c:pt idx="8">
                  <c:v>28</c:v>
                </c:pt>
                <c:pt idx="9">
                  <c:v>29</c:v>
                </c:pt>
                <c:pt idx="10">
                  <c:v>平成30年</c:v>
                </c:pt>
              </c:strCache>
            </c:strRef>
          </c:cat>
          <c:val>
            <c:numRef>
              <c:f>グラフ!$J$81:$J$91</c:f>
              <c:numCache>
                <c:formatCode>0_ </c:formatCode>
                <c:ptCount val="11"/>
                <c:pt idx="0">
                  <c:v>957</c:v>
                </c:pt>
                <c:pt idx="1">
                  <c:v>967</c:v>
                </c:pt>
                <c:pt idx="2">
                  <c:v>853</c:v>
                </c:pt>
                <c:pt idx="3">
                  <c:v>859</c:v>
                </c:pt>
                <c:pt idx="4">
                  <c:v>899</c:v>
                </c:pt>
                <c:pt idx="5">
                  <c:v>812</c:v>
                </c:pt>
                <c:pt idx="6">
                  <c:v>720</c:v>
                </c:pt>
                <c:pt idx="7">
                  <c:v>746</c:v>
                </c:pt>
                <c:pt idx="8">
                  <c:v>620</c:v>
                </c:pt>
                <c:pt idx="9">
                  <c:v>554</c:v>
                </c:pt>
                <c:pt idx="10">
                  <c:v>513</c:v>
                </c:pt>
              </c:numCache>
            </c:numRef>
          </c:val>
          <c:smooth val="0"/>
        </c:ser>
        <c:ser>
          <c:idx val="3"/>
          <c:order val="2"/>
          <c:tx>
            <c:strRef>
              <c:f>グラフ!$K$80</c:f>
              <c:strCache>
                <c:ptCount val="1"/>
                <c:pt idx="0">
                  <c:v>社会増加</c:v>
                </c:pt>
              </c:strCache>
            </c:strRef>
          </c:tx>
          <c:spPr>
            <a:ln w="12700">
              <a:solidFill>
                <a:srgbClr val="000000"/>
              </a:solidFill>
              <a:prstDash val="solid"/>
            </a:ln>
          </c:spPr>
          <c:marker>
            <c:symbol val="circle"/>
            <c:size val="8"/>
            <c:spPr>
              <a:solidFill>
                <a:srgbClr val="000000"/>
              </a:solidFill>
              <a:ln>
                <a:solidFill>
                  <a:srgbClr val="000000"/>
                </a:solidFill>
                <a:prstDash val="solid"/>
              </a:ln>
            </c:spPr>
          </c:marker>
          <c:dLbls>
            <c:dLbl>
              <c:idx val="0"/>
              <c:layout>
                <c:manualLayout>
                  <c:x val="-1.7569546120058566E-2"/>
                  <c:y val="2.8571428571428571E-2"/>
                </c:manualLayout>
              </c:layout>
              <c:dLblPos val="r"/>
              <c:showLegendKey val="0"/>
              <c:showVal val="1"/>
              <c:showCatName val="0"/>
              <c:showSerName val="0"/>
              <c:showPercent val="0"/>
              <c:showBubbleSize val="0"/>
              <c:extLst>
                <c:ext xmlns:c15="http://schemas.microsoft.com/office/drawing/2012/chart" uri="{CE6537A1-D6FC-4f65-9D91-7224C49458BB}"/>
              </c:extLst>
            </c:dLbl>
            <c:dLbl>
              <c:idx val="3"/>
              <c:layout>
                <c:manualLayout>
                  <c:x val="-3.709126403123475E-2"/>
                  <c:y val="3.9206349206349203E-2"/>
                </c:manualLayout>
              </c:layout>
              <c:dLblPos val="r"/>
              <c:showLegendKey val="0"/>
              <c:showVal val="1"/>
              <c:showCatName val="0"/>
              <c:showSerName val="0"/>
              <c:showPercent val="0"/>
              <c:showBubbleSize val="0"/>
              <c:extLst>
                <c:ext xmlns:c15="http://schemas.microsoft.com/office/drawing/2012/chart" uri="{CE6537A1-D6FC-4f65-9D91-7224C49458BB}"/>
              </c:extLst>
            </c:dLbl>
            <c:dLbl>
              <c:idx val="4"/>
              <c:layout>
                <c:manualLayout>
                  <c:x val="-3.322552576300012E-2"/>
                  <c:y val="6.9830772824447371E-2"/>
                </c:manualLayout>
              </c:layout>
              <c:dLblPos val="r"/>
              <c:showLegendKey val="0"/>
              <c:showVal val="1"/>
              <c:showCatName val="0"/>
              <c:showSerName val="0"/>
              <c:showPercent val="0"/>
              <c:showBubbleSize val="0"/>
              <c:extLst>
                <c:ext xmlns:c15="http://schemas.microsoft.com/office/drawing/2012/chart" uri="{CE6537A1-D6FC-4f65-9D91-7224C49458BB}"/>
              </c:extLst>
            </c:dLbl>
            <c:dLbl>
              <c:idx val="5"/>
              <c:layout>
                <c:manualLayout>
                  <c:x val="-3.768865608937319E-2"/>
                  <c:y val="7.3101535017629921E-2"/>
                </c:manualLayout>
              </c:layout>
              <c:dLblPos val="r"/>
              <c:showLegendKey val="0"/>
              <c:showVal val="1"/>
              <c:showCatName val="0"/>
              <c:showSerName val="0"/>
              <c:showPercent val="0"/>
              <c:showBubbleSize val="0"/>
              <c:extLst>
                <c:ext xmlns:c15="http://schemas.microsoft.com/office/drawing/2012/chart" uri="{CE6537A1-D6FC-4f65-9D91-7224C49458BB}"/>
              </c:extLst>
            </c:dLbl>
            <c:dLbl>
              <c:idx val="6"/>
              <c:layout>
                <c:manualLayout>
                  <c:x val="-3.9043435822352299E-2"/>
                  <c:y val="2.6507936507936508E-2"/>
                </c:manualLayout>
              </c:layout>
              <c:dLblPos val="r"/>
              <c:showLegendKey val="0"/>
              <c:showVal val="1"/>
              <c:showCatName val="0"/>
              <c:showSerName val="0"/>
              <c:showPercent val="0"/>
              <c:showBubbleSize val="0"/>
              <c:extLst>
                <c:ext xmlns:c15="http://schemas.microsoft.com/office/drawing/2012/chart" uri="{CE6537A1-D6FC-4f65-9D91-7224C49458BB}"/>
              </c:extLst>
            </c:dLbl>
            <c:dLbl>
              <c:idx val="7"/>
              <c:layout>
                <c:manualLayout>
                  <c:x val="-4.4443406648416527E-2"/>
                  <c:y val="2.9394108043834393E-2"/>
                </c:manualLayout>
              </c:layout>
              <c:dLblPos val="r"/>
              <c:showLegendKey val="0"/>
              <c:showVal val="1"/>
              <c:showCatName val="0"/>
              <c:showSerName val="0"/>
              <c:showPercent val="0"/>
              <c:showBubbleSize val="0"/>
              <c:extLst>
                <c:ext xmlns:c15="http://schemas.microsoft.com/office/drawing/2012/chart" uri="{CE6537A1-D6FC-4f65-9D91-7224C49458BB}"/>
              </c:extLst>
            </c:dLbl>
            <c:dLbl>
              <c:idx val="8"/>
              <c:layout>
                <c:manualLayout>
                  <c:x val="-3.8964910877071608E-2"/>
                  <c:y val="5.6041033385725622E-2"/>
                </c:manualLayout>
              </c:layout>
              <c:dLblPos val="r"/>
              <c:showLegendKey val="0"/>
              <c:showVal val="1"/>
              <c:showCatName val="0"/>
              <c:showSerName val="0"/>
              <c:showPercent val="0"/>
              <c:showBubbleSize val="0"/>
              <c:extLst>
                <c:ext xmlns:c15="http://schemas.microsoft.com/office/drawing/2012/chart" uri="{CE6537A1-D6FC-4f65-9D91-7224C49458BB}"/>
              </c:extLst>
            </c:dLbl>
            <c:dLbl>
              <c:idx val="9"/>
              <c:layout>
                <c:manualLayout>
                  <c:x val="-4.0995607613469986E-2"/>
                  <c:y val="2.9682539682539567E-2"/>
                </c:manualLayout>
              </c:layout>
              <c:dLblPos val="r"/>
              <c:showLegendKey val="0"/>
              <c:showVal val="1"/>
              <c:showCatName val="0"/>
              <c:showSerName val="0"/>
              <c:showPercent val="0"/>
              <c:showBubbleSize val="0"/>
              <c:extLst>
                <c:ext xmlns:c15="http://schemas.microsoft.com/office/drawing/2012/chart" uri="{CE6537A1-D6FC-4f65-9D91-7224C49458BB}"/>
              </c:extLst>
            </c:dLbl>
            <c:dLbl>
              <c:idx val="10"/>
              <c:layout>
                <c:manualLayout>
                  <c:x val="-5.075645076976984E-2"/>
                  <c:y val="6.2101729975659742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グラフ!$H$81:$H$91</c:f>
              <c:strCache>
                <c:ptCount val="11"/>
                <c:pt idx="0">
                  <c:v>平成20年</c:v>
                </c:pt>
                <c:pt idx="1">
                  <c:v>21</c:v>
                </c:pt>
                <c:pt idx="2">
                  <c:v>22</c:v>
                </c:pt>
                <c:pt idx="3">
                  <c:v>23</c:v>
                </c:pt>
                <c:pt idx="4">
                  <c:v>24</c:v>
                </c:pt>
                <c:pt idx="5">
                  <c:v>25</c:v>
                </c:pt>
                <c:pt idx="6">
                  <c:v>26</c:v>
                </c:pt>
                <c:pt idx="7">
                  <c:v>27</c:v>
                </c:pt>
                <c:pt idx="8">
                  <c:v>28</c:v>
                </c:pt>
                <c:pt idx="9">
                  <c:v>29</c:v>
                </c:pt>
                <c:pt idx="10">
                  <c:v>平成30年</c:v>
                </c:pt>
              </c:strCache>
            </c:strRef>
          </c:cat>
          <c:val>
            <c:numRef>
              <c:f>グラフ!$K$81:$K$91</c:f>
              <c:numCache>
                <c:formatCode>0_ </c:formatCode>
                <c:ptCount val="11"/>
                <c:pt idx="0">
                  <c:v>-268</c:v>
                </c:pt>
                <c:pt idx="1">
                  <c:v>-84</c:v>
                </c:pt>
                <c:pt idx="2">
                  <c:v>-196</c:v>
                </c:pt>
                <c:pt idx="3">
                  <c:v>-132</c:v>
                </c:pt>
                <c:pt idx="4">
                  <c:v>674</c:v>
                </c:pt>
                <c:pt idx="5">
                  <c:v>-318</c:v>
                </c:pt>
                <c:pt idx="6">
                  <c:v>-692</c:v>
                </c:pt>
                <c:pt idx="7">
                  <c:v>-826</c:v>
                </c:pt>
                <c:pt idx="8">
                  <c:v>-468</c:v>
                </c:pt>
                <c:pt idx="9">
                  <c:v>-519</c:v>
                </c:pt>
                <c:pt idx="10">
                  <c:v>-354</c:v>
                </c:pt>
              </c:numCache>
            </c:numRef>
          </c:val>
          <c:smooth val="0"/>
        </c:ser>
        <c:dLbls>
          <c:showLegendKey val="0"/>
          <c:showVal val="1"/>
          <c:showCatName val="0"/>
          <c:showSerName val="0"/>
          <c:showPercent val="0"/>
          <c:showBubbleSize val="0"/>
        </c:dLbls>
        <c:marker val="1"/>
        <c:smooth val="0"/>
        <c:axId val="487327048"/>
        <c:axId val="487321560"/>
      </c:lineChart>
      <c:catAx>
        <c:axId val="48732704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87321560"/>
        <c:crossesAt val="-1000"/>
        <c:auto val="1"/>
        <c:lblAlgn val="ctr"/>
        <c:lblOffset val="100"/>
        <c:tickLblSkip val="1"/>
        <c:tickMarkSkip val="1"/>
        <c:noMultiLvlLbl val="0"/>
      </c:catAx>
      <c:valAx>
        <c:axId val="487321560"/>
        <c:scaling>
          <c:orientation val="minMax"/>
        </c:scaling>
        <c:delete val="0"/>
        <c:axPos val="l"/>
        <c:majorGridlines>
          <c:spPr>
            <a:ln w="3175">
              <a:solidFill>
                <a:srgbClr val="000000"/>
              </a:solidFill>
              <a:prstDash val="sysDash"/>
            </a:ln>
          </c:spPr>
        </c:majorGridlines>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8.638360175695349E-2"/>
              <c:y val="2.2278965129359247E-2"/>
            </c:manualLayout>
          </c:layout>
          <c:overlay val="0"/>
          <c:spPr>
            <a:noFill/>
            <a:ln w="25400">
              <a:noFill/>
            </a:ln>
          </c:spPr>
        </c:title>
        <c:numFmt formatCode="#,##0_ " sourceLinked="0"/>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87327048"/>
        <c:crosses val="autoZero"/>
        <c:crossBetween val="midCat"/>
      </c:valAx>
      <c:spPr>
        <a:noFill/>
        <a:ln w="12700">
          <a:solidFill>
            <a:srgbClr val="000000"/>
          </a:solidFill>
          <a:prstDash val="solid"/>
        </a:ln>
      </c:spPr>
    </c:plotArea>
    <c:legend>
      <c:legendPos val="b"/>
      <c:layout>
        <c:manualLayout>
          <c:xMode val="edge"/>
          <c:yMode val="edge"/>
          <c:x val="0.26354319180087848"/>
          <c:y val="0.90000199975003059"/>
          <c:w val="0.49194729136164522"/>
          <c:h val="7.1428821397325537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081531001994338"/>
          <c:y val="9.477021688078463E-2"/>
          <c:w val="0.81513944109841463"/>
          <c:h val="0.71292300041442991"/>
        </c:manualLayout>
      </c:layout>
      <c:lineChart>
        <c:grouping val="standard"/>
        <c:varyColors val="0"/>
        <c:ser>
          <c:idx val="0"/>
          <c:order val="0"/>
          <c:tx>
            <c:strRef>
              <c:f>グラフ!$I$93</c:f>
              <c:strCache>
                <c:ptCount val="1"/>
                <c:pt idx="0">
                  <c:v>出生</c:v>
                </c:pt>
              </c:strCache>
            </c:strRef>
          </c:tx>
          <c:spPr>
            <a:ln w="12700">
              <a:solidFill>
                <a:srgbClr val="000000"/>
              </a:solidFill>
              <a:prstDash val="solid"/>
            </a:ln>
          </c:spPr>
          <c:marker>
            <c:symbol val="x"/>
            <c:size val="5"/>
            <c:spPr>
              <a:solidFill>
                <a:srgbClr val="000000"/>
              </a:solidFill>
              <a:ln>
                <a:solidFill>
                  <a:srgbClr val="000000"/>
                </a:solidFill>
                <a:prstDash val="solid"/>
              </a:ln>
            </c:spPr>
          </c:marker>
          <c:dLbls>
            <c:dLbl>
              <c:idx val="0"/>
              <c:layout>
                <c:manualLayout>
                  <c:x val="-5.5555555555555558E-3"/>
                  <c:y val="3.2586558044806514E-2"/>
                </c:manualLayout>
              </c:layout>
              <c:dLblPos val="r"/>
              <c:showLegendKey val="0"/>
              <c:showVal val="1"/>
              <c:showCatName val="0"/>
              <c:showSerName val="0"/>
              <c:showPercent val="0"/>
              <c:showBubbleSize val="0"/>
              <c:extLst>
                <c:ext xmlns:c15="http://schemas.microsoft.com/office/drawing/2012/chart" uri="{CE6537A1-D6FC-4f65-9D91-7224C49458BB}"/>
              </c:extLst>
            </c:dLbl>
            <c:dLbl>
              <c:idx val="8"/>
              <c:layout>
                <c:manualLayout>
                  <c:x val="-3.4101924759405072E-2"/>
                  <c:y val="2.6748133061778683E-2"/>
                </c:manualLayout>
              </c:layout>
              <c:dLblPos val="r"/>
              <c:showLegendKey val="0"/>
              <c:showVal val="1"/>
              <c:showCatName val="0"/>
              <c:showSerName val="0"/>
              <c:showPercent val="0"/>
              <c:showBubbleSize val="0"/>
              <c:extLst>
                <c:ext xmlns:c15="http://schemas.microsoft.com/office/drawing/2012/chart" uri="{CE6537A1-D6FC-4f65-9D91-7224C49458BB}"/>
              </c:extLst>
            </c:dLbl>
            <c:dLbl>
              <c:idx val="9"/>
              <c:layout>
                <c:manualLayout>
                  <c:x val="-3.4101924759405072E-2"/>
                  <c:y val="2.6748133061778683E-2"/>
                </c:manualLayout>
              </c:layout>
              <c:dLblPos val="r"/>
              <c:showLegendKey val="0"/>
              <c:showVal val="1"/>
              <c:showCatName val="0"/>
              <c:showSerName val="0"/>
              <c:showPercent val="0"/>
              <c:showBubbleSize val="0"/>
              <c:extLst>
                <c:ext xmlns:c15="http://schemas.microsoft.com/office/drawing/2012/chart" uri="{CE6537A1-D6FC-4f65-9D91-7224C49458BB}"/>
              </c:extLst>
            </c:dLbl>
            <c:dLbl>
              <c:idx val="10"/>
              <c:layout>
                <c:manualLayout>
                  <c:x val="-5.8175998833479146E-2"/>
                  <c:y val="1.5885947046843079E-2"/>
                </c:manualLayout>
              </c:layout>
              <c:dLblPos val="r"/>
              <c:showLegendKey val="0"/>
              <c:showVal val="1"/>
              <c:showCatName val="0"/>
              <c:showSerName val="0"/>
              <c:showPercent val="0"/>
              <c:showBubbleSize val="0"/>
              <c:extLst>
                <c:ext xmlns:c15="http://schemas.microsoft.com/office/drawing/2012/chart" uri="{CE6537A1-D6FC-4f65-9D91-7224C49458BB}"/>
              </c:extLst>
            </c:dLbl>
            <c:dLbl>
              <c:idx val="11"/>
              <c:layout>
                <c:manualLayout>
                  <c:x val="-5.6324146981627431E-2"/>
                  <c:y val="1.31704005431092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グラフ!$H$94:$H$104</c:f>
              <c:strCache>
                <c:ptCount val="11"/>
                <c:pt idx="0">
                  <c:v>平成20年</c:v>
                </c:pt>
                <c:pt idx="1">
                  <c:v>21</c:v>
                </c:pt>
                <c:pt idx="2">
                  <c:v>22</c:v>
                </c:pt>
                <c:pt idx="3">
                  <c:v>23</c:v>
                </c:pt>
                <c:pt idx="4">
                  <c:v>24</c:v>
                </c:pt>
                <c:pt idx="5">
                  <c:v>25</c:v>
                </c:pt>
                <c:pt idx="6">
                  <c:v>26</c:v>
                </c:pt>
                <c:pt idx="7">
                  <c:v>27</c:v>
                </c:pt>
                <c:pt idx="8">
                  <c:v>28</c:v>
                </c:pt>
                <c:pt idx="9">
                  <c:v>29</c:v>
                </c:pt>
                <c:pt idx="10">
                  <c:v>平成30年</c:v>
                </c:pt>
              </c:strCache>
            </c:strRef>
          </c:cat>
          <c:val>
            <c:numRef>
              <c:f>グラフ!$I$94:$I$104</c:f>
              <c:numCache>
                <c:formatCode>#,##0_);[Red]\(#,##0\)</c:formatCode>
                <c:ptCount val="11"/>
                <c:pt idx="0">
                  <c:v>1516</c:v>
                </c:pt>
                <c:pt idx="1">
                  <c:v>1544</c:v>
                </c:pt>
                <c:pt idx="2">
                  <c:v>1507</c:v>
                </c:pt>
                <c:pt idx="3">
                  <c:v>1542</c:v>
                </c:pt>
                <c:pt idx="4">
                  <c:v>1540</c:v>
                </c:pt>
                <c:pt idx="5">
                  <c:v>1452</c:v>
                </c:pt>
                <c:pt idx="6">
                  <c:v>1391</c:v>
                </c:pt>
                <c:pt idx="7">
                  <c:v>1433</c:v>
                </c:pt>
                <c:pt idx="8">
                  <c:v>1350</c:v>
                </c:pt>
                <c:pt idx="9">
                  <c:v>1291</c:v>
                </c:pt>
                <c:pt idx="10">
                  <c:v>1250</c:v>
                </c:pt>
              </c:numCache>
            </c:numRef>
          </c:val>
          <c:smooth val="0"/>
        </c:ser>
        <c:ser>
          <c:idx val="1"/>
          <c:order val="1"/>
          <c:tx>
            <c:strRef>
              <c:f>グラフ!$J$93</c:f>
              <c:strCache>
                <c:ptCount val="1"/>
                <c:pt idx="0">
                  <c:v>死亡</c:v>
                </c:pt>
              </c:strCache>
            </c:strRef>
          </c:tx>
          <c:spPr>
            <a:ln w="12700">
              <a:solidFill>
                <a:srgbClr val="000000"/>
              </a:solidFill>
              <a:prstDash val="solid"/>
            </a:ln>
          </c:spPr>
          <c:marker>
            <c:symbol val="triangle"/>
            <c:size val="8"/>
            <c:spPr>
              <a:solidFill>
                <a:srgbClr val="000000"/>
              </a:solidFill>
              <a:ln>
                <a:solidFill>
                  <a:srgbClr val="000000"/>
                </a:solidFill>
                <a:prstDash val="solid"/>
              </a:ln>
            </c:spPr>
          </c:marker>
          <c:dLbls>
            <c:dLbl>
              <c:idx val="0"/>
              <c:layout>
                <c:manualLayout>
                  <c:x val="-1.8518518518518543E-3"/>
                  <c:y val="3.2586558044806417E-2"/>
                </c:manualLayout>
              </c:layout>
              <c:dLblPos val="r"/>
              <c:showLegendKey val="0"/>
              <c:showVal val="1"/>
              <c:showCatName val="0"/>
              <c:showSerName val="0"/>
              <c:showPercent val="0"/>
              <c:showBubbleSize val="0"/>
              <c:extLst>
                <c:ext xmlns:c15="http://schemas.microsoft.com/office/drawing/2012/chart" uri="{CE6537A1-D6FC-4f65-9D91-7224C49458BB}"/>
              </c:extLst>
            </c:dLbl>
            <c:dLbl>
              <c:idx val="1"/>
              <c:layout>
                <c:manualLayout>
                  <c:x val="-3.1018518518518518E-2"/>
                  <c:y val="2.810590631364562E-2"/>
                </c:manualLayout>
              </c:layout>
              <c:dLblPos val="r"/>
              <c:showLegendKey val="0"/>
              <c:showVal val="1"/>
              <c:showCatName val="0"/>
              <c:showSerName val="0"/>
              <c:showPercent val="0"/>
              <c:showBubbleSize val="0"/>
              <c:extLst>
                <c:ext xmlns:c15="http://schemas.microsoft.com/office/drawing/2012/chart" uri="{CE6537A1-D6FC-4f65-9D91-7224C49458BB}"/>
              </c:extLst>
            </c:dLbl>
            <c:dLbl>
              <c:idx val="10"/>
              <c:layout>
                <c:manualLayout>
                  <c:x val="-4.9537037037037157E-2"/>
                  <c:y val="3.896809232858113E-2"/>
                </c:manualLayout>
              </c:layout>
              <c:dLblPos val="r"/>
              <c:showLegendKey val="0"/>
              <c:showVal val="1"/>
              <c:showCatName val="0"/>
              <c:showSerName val="0"/>
              <c:showPercent val="0"/>
              <c:showBubbleSize val="0"/>
              <c:extLst>
                <c:ext xmlns:c15="http://schemas.microsoft.com/office/drawing/2012/chart" uri="{CE6537A1-D6FC-4f65-9D91-7224C49458BB}"/>
              </c:extLst>
            </c:dLbl>
            <c:dLbl>
              <c:idx val="11"/>
              <c:layout>
                <c:manualLayout>
                  <c:x val="-5.1388888888889026E-2"/>
                  <c:y val="3.896809232858113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グラフ!$H$94:$H$104</c:f>
              <c:strCache>
                <c:ptCount val="11"/>
                <c:pt idx="0">
                  <c:v>平成20年</c:v>
                </c:pt>
                <c:pt idx="1">
                  <c:v>21</c:v>
                </c:pt>
                <c:pt idx="2">
                  <c:v>22</c:v>
                </c:pt>
                <c:pt idx="3">
                  <c:v>23</c:v>
                </c:pt>
                <c:pt idx="4">
                  <c:v>24</c:v>
                </c:pt>
                <c:pt idx="5">
                  <c:v>25</c:v>
                </c:pt>
                <c:pt idx="6">
                  <c:v>26</c:v>
                </c:pt>
                <c:pt idx="7">
                  <c:v>27</c:v>
                </c:pt>
                <c:pt idx="8">
                  <c:v>28</c:v>
                </c:pt>
                <c:pt idx="9">
                  <c:v>29</c:v>
                </c:pt>
                <c:pt idx="10">
                  <c:v>平成30年</c:v>
                </c:pt>
              </c:strCache>
            </c:strRef>
          </c:cat>
          <c:val>
            <c:numRef>
              <c:f>グラフ!$J$94:$J$104</c:f>
              <c:numCache>
                <c:formatCode>#,##0_);[Red]\(#,##0\)</c:formatCode>
                <c:ptCount val="11"/>
                <c:pt idx="0">
                  <c:v>559</c:v>
                </c:pt>
                <c:pt idx="1">
                  <c:v>577</c:v>
                </c:pt>
                <c:pt idx="2">
                  <c:v>654</c:v>
                </c:pt>
                <c:pt idx="3">
                  <c:v>683</c:v>
                </c:pt>
                <c:pt idx="4">
                  <c:v>641</c:v>
                </c:pt>
                <c:pt idx="5">
                  <c:v>640</c:v>
                </c:pt>
                <c:pt idx="6">
                  <c:v>671</c:v>
                </c:pt>
                <c:pt idx="7">
                  <c:v>687</c:v>
                </c:pt>
                <c:pt idx="8">
                  <c:v>730</c:v>
                </c:pt>
                <c:pt idx="9">
                  <c:v>737</c:v>
                </c:pt>
                <c:pt idx="10">
                  <c:v>737</c:v>
                </c:pt>
              </c:numCache>
            </c:numRef>
          </c:val>
          <c:smooth val="0"/>
        </c:ser>
        <c:ser>
          <c:idx val="2"/>
          <c:order val="2"/>
          <c:tx>
            <c:strRef>
              <c:f>グラフ!$K$93</c:f>
              <c:strCache>
                <c:ptCount val="1"/>
                <c:pt idx="0">
                  <c:v>転入</c:v>
                </c:pt>
              </c:strCache>
            </c:strRef>
          </c:tx>
          <c:spPr>
            <a:ln w="12700">
              <a:solidFill>
                <a:srgbClr val="000000"/>
              </a:solidFill>
              <a:prstDash val="solid"/>
            </a:ln>
          </c:spPr>
          <c:marker>
            <c:symbol val="diamond"/>
            <c:size val="9"/>
            <c:spPr>
              <a:solidFill>
                <a:srgbClr val="000000"/>
              </a:solidFill>
              <a:ln>
                <a:solidFill>
                  <a:srgbClr val="000000"/>
                </a:solidFill>
                <a:prstDash val="solid"/>
              </a:ln>
            </c:spPr>
          </c:marker>
          <c:dLbls>
            <c:dLbl>
              <c:idx val="0"/>
              <c:layout>
                <c:manualLayout>
                  <c:x val="-1.5583406240886591E-2"/>
                  <c:y val="4.0325865580448067E-2"/>
                </c:manualLayout>
              </c:layout>
              <c:dLblPos val="r"/>
              <c:showLegendKey val="0"/>
              <c:showVal val="1"/>
              <c:showCatName val="0"/>
              <c:showSerName val="0"/>
              <c:showPercent val="0"/>
              <c:showBubbleSize val="0"/>
              <c:extLst>
                <c:ext xmlns:c15="http://schemas.microsoft.com/office/drawing/2012/chart" uri="{CE6537A1-D6FC-4f65-9D91-7224C49458BB}"/>
              </c:extLst>
            </c:dLbl>
            <c:dLbl>
              <c:idx val="4"/>
              <c:layout>
                <c:manualLayout>
                  <c:x val="-4.1891247958286561E-2"/>
                  <c:y val="-3.3632058448971672E-2"/>
                </c:manualLayout>
              </c:layout>
              <c:dLblPos val="r"/>
              <c:showLegendKey val="0"/>
              <c:showVal val="1"/>
              <c:showCatName val="0"/>
              <c:showSerName val="0"/>
              <c:showPercent val="0"/>
              <c:showBubbleSize val="0"/>
              <c:extLst>
                <c:ext xmlns:c15="http://schemas.microsoft.com/office/drawing/2012/chart" uri="{CE6537A1-D6FC-4f65-9D91-7224C49458BB}"/>
              </c:extLst>
            </c:dLbl>
            <c:dLbl>
              <c:idx val="6"/>
              <c:layout>
                <c:manualLayout>
                  <c:x val="-3.7805704300781132E-2"/>
                  <c:y val="3.7455150026198633E-2"/>
                </c:manualLayout>
              </c:layout>
              <c:dLblPos val="r"/>
              <c:showLegendKey val="0"/>
              <c:showVal val="1"/>
              <c:showCatName val="0"/>
              <c:showSerName val="0"/>
              <c:showPercent val="0"/>
              <c:showBubbleSize val="0"/>
              <c:extLst>
                <c:ext xmlns:c15="http://schemas.microsoft.com/office/drawing/2012/chart" uri="{CE6537A1-D6FC-4f65-9D91-7224C49458BB}"/>
              </c:extLst>
            </c:dLbl>
            <c:dLbl>
              <c:idx val="7"/>
              <c:layout>
                <c:manualLayout>
                  <c:x val="-3.609330706852678E-2"/>
                  <c:y val="2.6825619484841228E-2"/>
                </c:manualLayout>
              </c:layout>
              <c:dLblPos val="r"/>
              <c:showLegendKey val="0"/>
              <c:showVal val="1"/>
              <c:showCatName val="0"/>
              <c:showSerName val="0"/>
              <c:showPercent val="0"/>
              <c:showBubbleSize val="0"/>
              <c:extLst>
                <c:ext xmlns:c15="http://schemas.microsoft.com/office/drawing/2012/chart" uri="{CE6537A1-D6FC-4f65-9D91-7224C49458BB}"/>
              </c:extLst>
            </c:dLbl>
            <c:dLbl>
              <c:idx val="10"/>
              <c:layout>
                <c:manualLayout>
                  <c:x val="-5.8175998833479146E-2"/>
                  <c:y val="4.0325865580448067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グラフ!$H$94:$H$104</c:f>
              <c:strCache>
                <c:ptCount val="11"/>
                <c:pt idx="0">
                  <c:v>平成20年</c:v>
                </c:pt>
                <c:pt idx="1">
                  <c:v>21</c:v>
                </c:pt>
                <c:pt idx="2">
                  <c:v>22</c:v>
                </c:pt>
                <c:pt idx="3">
                  <c:v>23</c:v>
                </c:pt>
                <c:pt idx="4">
                  <c:v>24</c:v>
                </c:pt>
                <c:pt idx="5">
                  <c:v>25</c:v>
                </c:pt>
                <c:pt idx="6">
                  <c:v>26</c:v>
                </c:pt>
                <c:pt idx="7">
                  <c:v>27</c:v>
                </c:pt>
                <c:pt idx="8">
                  <c:v>28</c:v>
                </c:pt>
                <c:pt idx="9">
                  <c:v>29</c:v>
                </c:pt>
                <c:pt idx="10">
                  <c:v>平成30年</c:v>
                </c:pt>
              </c:strCache>
            </c:strRef>
          </c:cat>
          <c:val>
            <c:numRef>
              <c:f>グラフ!$K$94:$K$104</c:f>
              <c:numCache>
                <c:formatCode>#,##0_);[Red]\(#,##0\)</c:formatCode>
                <c:ptCount val="11"/>
                <c:pt idx="0">
                  <c:v>5782</c:v>
                </c:pt>
                <c:pt idx="1">
                  <c:v>5675</c:v>
                </c:pt>
                <c:pt idx="2">
                  <c:v>5698</c:v>
                </c:pt>
                <c:pt idx="3">
                  <c:v>5604</c:v>
                </c:pt>
                <c:pt idx="4">
                  <c:v>6298</c:v>
                </c:pt>
                <c:pt idx="5">
                  <c:v>6024</c:v>
                </c:pt>
                <c:pt idx="6">
                  <c:v>5587</c:v>
                </c:pt>
                <c:pt idx="7">
                  <c:v>5477</c:v>
                </c:pt>
                <c:pt idx="8">
                  <c:v>5854</c:v>
                </c:pt>
                <c:pt idx="9">
                  <c:v>5634</c:v>
                </c:pt>
                <c:pt idx="10">
                  <c:v>5825</c:v>
                </c:pt>
              </c:numCache>
            </c:numRef>
          </c:val>
          <c:smooth val="0"/>
        </c:ser>
        <c:ser>
          <c:idx val="3"/>
          <c:order val="3"/>
          <c:tx>
            <c:strRef>
              <c:f>グラフ!$L$93</c:f>
              <c:strCache>
                <c:ptCount val="1"/>
                <c:pt idx="0">
                  <c:v>転出</c:v>
                </c:pt>
              </c:strCache>
            </c:strRef>
          </c:tx>
          <c:spPr>
            <a:ln w="12700">
              <a:solidFill>
                <a:srgbClr val="000000"/>
              </a:solidFill>
              <a:prstDash val="solid"/>
            </a:ln>
          </c:spPr>
          <c:marker>
            <c:symbol val="circle"/>
            <c:size val="9"/>
            <c:spPr>
              <a:solidFill>
                <a:srgbClr val="FFFFFF"/>
              </a:solidFill>
              <a:ln>
                <a:solidFill>
                  <a:srgbClr val="000000"/>
                </a:solidFill>
                <a:prstDash val="solid"/>
              </a:ln>
            </c:spPr>
          </c:marker>
          <c:dLbls>
            <c:dLbl>
              <c:idx val="0"/>
              <c:layout>
                <c:manualLayout>
                  <c:x val="-1.2962962962962963E-2"/>
                  <c:y val="-2.4440132356164268E-2"/>
                </c:manualLayout>
              </c:layout>
              <c:dLblPos val="r"/>
              <c:showLegendKey val="0"/>
              <c:showVal val="1"/>
              <c:showCatName val="0"/>
              <c:showSerName val="0"/>
              <c:showPercent val="0"/>
              <c:showBubbleSize val="0"/>
              <c:extLst>
                <c:ext xmlns:c15="http://schemas.microsoft.com/office/drawing/2012/chart" uri="{CE6537A1-D6FC-4f65-9D91-7224C49458BB}"/>
              </c:extLst>
            </c:dLbl>
            <c:dLbl>
              <c:idx val="4"/>
              <c:layout>
                <c:manualLayout>
                  <c:x val="-4.1353585646282172E-2"/>
                  <c:y val="4.1817829295968188E-2"/>
                </c:manualLayout>
              </c:layout>
              <c:dLblPos val="r"/>
              <c:showLegendKey val="0"/>
              <c:showVal val="1"/>
              <c:showCatName val="0"/>
              <c:showSerName val="0"/>
              <c:showPercent val="0"/>
              <c:showBubbleSize val="0"/>
              <c:extLst>
                <c:ext xmlns:c15="http://schemas.microsoft.com/office/drawing/2012/chart" uri="{CE6537A1-D6FC-4f65-9D91-7224C49458BB}"/>
              </c:extLst>
            </c:dLbl>
            <c:dLbl>
              <c:idx val="6"/>
              <c:layout>
                <c:manualLayout>
                  <c:x val="-3.9797046197093615E-2"/>
                  <c:y val="-3.745515002619864E-2"/>
                </c:manualLayout>
              </c:layout>
              <c:dLblPos val="r"/>
              <c:showLegendKey val="0"/>
              <c:showVal val="1"/>
              <c:showCatName val="0"/>
              <c:showSerName val="0"/>
              <c:showPercent val="0"/>
              <c:showBubbleSize val="0"/>
              <c:extLst>
                <c:ext xmlns:c15="http://schemas.microsoft.com/office/drawing/2012/chart" uri="{CE6537A1-D6FC-4f65-9D91-7224C49458BB}"/>
              </c:extLst>
            </c:dLbl>
            <c:dLbl>
              <c:idx val="7"/>
              <c:layout>
                <c:manualLayout>
                  <c:x val="-4.3361234594344204E-2"/>
                  <c:y val="-2.9541341786295538E-2"/>
                </c:manualLayout>
              </c:layout>
              <c:dLblPos val="r"/>
              <c:showLegendKey val="0"/>
              <c:showVal val="1"/>
              <c:showCatName val="0"/>
              <c:showSerName val="0"/>
              <c:showPercent val="0"/>
              <c:showBubbleSize val="0"/>
              <c:extLst>
                <c:ext xmlns:c15="http://schemas.microsoft.com/office/drawing/2012/chart" uri="{CE6537A1-D6FC-4f65-9D91-7224C49458BB}"/>
              </c:extLst>
            </c:dLbl>
            <c:dLbl>
              <c:idx val="10"/>
              <c:layout>
                <c:manualLayout>
                  <c:x val="-6.0027850685331133E-2"/>
                  <c:y val="-4.0325865580448067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グラフ!$H$94:$H$104</c:f>
              <c:strCache>
                <c:ptCount val="11"/>
                <c:pt idx="0">
                  <c:v>平成20年</c:v>
                </c:pt>
                <c:pt idx="1">
                  <c:v>21</c:v>
                </c:pt>
                <c:pt idx="2">
                  <c:v>22</c:v>
                </c:pt>
                <c:pt idx="3">
                  <c:v>23</c:v>
                </c:pt>
                <c:pt idx="4">
                  <c:v>24</c:v>
                </c:pt>
                <c:pt idx="5">
                  <c:v>25</c:v>
                </c:pt>
                <c:pt idx="6">
                  <c:v>26</c:v>
                </c:pt>
                <c:pt idx="7">
                  <c:v>27</c:v>
                </c:pt>
                <c:pt idx="8">
                  <c:v>28</c:v>
                </c:pt>
                <c:pt idx="9">
                  <c:v>29</c:v>
                </c:pt>
                <c:pt idx="10">
                  <c:v>平成30年</c:v>
                </c:pt>
              </c:strCache>
            </c:strRef>
          </c:cat>
          <c:val>
            <c:numRef>
              <c:f>グラフ!$L$94:$L$104</c:f>
              <c:numCache>
                <c:formatCode>#,##0_);[Red]\(#,##0\)</c:formatCode>
                <c:ptCount val="11"/>
                <c:pt idx="0">
                  <c:v>6050</c:v>
                </c:pt>
                <c:pt idx="1">
                  <c:v>5759</c:v>
                </c:pt>
                <c:pt idx="2">
                  <c:v>5894</c:v>
                </c:pt>
                <c:pt idx="3">
                  <c:v>5736</c:v>
                </c:pt>
                <c:pt idx="4">
                  <c:v>5624</c:v>
                </c:pt>
                <c:pt idx="5">
                  <c:v>6342</c:v>
                </c:pt>
                <c:pt idx="6">
                  <c:v>6279</c:v>
                </c:pt>
                <c:pt idx="7">
                  <c:v>6303</c:v>
                </c:pt>
                <c:pt idx="8">
                  <c:v>6322</c:v>
                </c:pt>
                <c:pt idx="9">
                  <c:v>6153</c:v>
                </c:pt>
                <c:pt idx="10">
                  <c:v>6179</c:v>
                </c:pt>
              </c:numCache>
            </c:numRef>
          </c:val>
          <c:smooth val="0"/>
        </c:ser>
        <c:dLbls>
          <c:showLegendKey val="0"/>
          <c:showVal val="1"/>
          <c:showCatName val="0"/>
          <c:showSerName val="0"/>
          <c:showPercent val="0"/>
          <c:showBubbleSize val="0"/>
        </c:dLbls>
        <c:marker val="1"/>
        <c:smooth val="0"/>
        <c:axId val="487327440"/>
        <c:axId val="487320384"/>
      </c:lineChart>
      <c:catAx>
        <c:axId val="48732744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87320384"/>
        <c:crosses val="autoZero"/>
        <c:auto val="1"/>
        <c:lblAlgn val="ctr"/>
        <c:lblOffset val="100"/>
        <c:tickLblSkip val="1"/>
        <c:tickMarkSkip val="1"/>
        <c:noMultiLvlLbl val="0"/>
      </c:catAx>
      <c:valAx>
        <c:axId val="487320384"/>
        <c:scaling>
          <c:orientation val="minMax"/>
        </c:scaling>
        <c:delete val="0"/>
        <c:axPos val="l"/>
        <c:majorGridlines>
          <c:spPr>
            <a:ln w="3175">
              <a:solidFill>
                <a:srgbClr val="000000"/>
              </a:solidFill>
              <a:prstDash val="sysDash"/>
            </a:ln>
          </c:spPr>
        </c:majorGridlines>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1790405365995919"/>
              <c:y val="4.2189543007735017E-2"/>
            </c:manualLayout>
          </c:layout>
          <c:overlay val="0"/>
          <c:spPr>
            <a:noFill/>
            <a:ln w="25400">
              <a:noFill/>
            </a:ln>
          </c:spPr>
        </c:title>
        <c:numFmt formatCode="#,##0_);[Red]\(#,##0\)"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87327440"/>
        <c:crosses val="autoZero"/>
        <c:crossBetween val="midCat"/>
      </c:valAx>
      <c:spPr>
        <a:solidFill>
          <a:srgbClr val="FFFFFF"/>
        </a:solidFill>
        <a:ln w="12700">
          <a:solidFill>
            <a:srgbClr val="000000"/>
          </a:solidFill>
          <a:prstDash val="solid"/>
        </a:ln>
      </c:spPr>
    </c:plotArea>
    <c:legend>
      <c:legendPos val="r"/>
      <c:layout>
        <c:manualLayout>
          <c:xMode val="edge"/>
          <c:yMode val="edge"/>
          <c:x val="0.25833366962191223"/>
          <c:y val="0.86476024607788082"/>
          <c:w val="0.51666739574219656"/>
          <c:h val="8.9613034623217902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 footer="0.5"/>
    <c:pageSetup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86520765978613"/>
          <c:y val="7.1925754060324795E-2"/>
          <c:w val="0.78766195782003634"/>
          <c:h val="0.76102088167054238"/>
        </c:manualLayout>
      </c:layout>
      <c:barChart>
        <c:barDir val="col"/>
        <c:grouping val="stacked"/>
        <c:varyColors val="0"/>
        <c:ser>
          <c:idx val="0"/>
          <c:order val="0"/>
          <c:tx>
            <c:strRef>
              <c:f>グラフ!$I$125</c:f>
              <c:strCache>
                <c:ptCount val="1"/>
                <c:pt idx="0">
                  <c:v>男</c:v>
                </c:pt>
              </c:strCache>
            </c:strRef>
          </c:tx>
          <c:spPr>
            <a:solidFill>
              <a:schemeClr val="bg1">
                <a:lumMod val="50000"/>
              </a:schemeClr>
            </a:solidFill>
            <a:ln w="12700">
              <a:solidFill>
                <a:srgbClr val="000000"/>
              </a:solidFill>
              <a:prstDash val="solid"/>
            </a:ln>
          </c:spPr>
          <c:invertIfNegative val="0"/>
          <c:dLbls>
            <c:dLbl>
              <c:idx val="8"/>
              <c:layout>
                <c:manualLayout>
                  <c:x val="0"/>
                  <c:y val="0.14297036332872981"/>
                </c:manualLayout>
              </c:layout>
              <c:dLblPos val="ctr"/>
              <c:showLegendKey val="0"/>
              <c:showVal val="1"/>
              <c:showCatName val="0"/>
              <c:showSerName val="0"/>
              <c:showPercent val="0"/>
              <c:showBubbleSize val="0"/>
              <c:extLst>
                <c:ext xmlns:c15="http://schemas.microsoft.com/office/drawing/2012/chart" uri="{CE6537A1-D6FC-4f65-9D91-7224C49458BB}"/>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グラフ!$H$126:$H$135</c:f>
              <c:strCache>
                <c:ptCount val="10"/>
                <c:pt idx="0">
                  <c:v>昭和45年</c:v>
                </c:pt>
                <c:pt idx="1">
                  <c:v>50年</c:v>
                </c:pt>
                <c:pt idx="2">
                  <c:v>55年</c:v>
                </c:pt>
                <c:pt idx="3">
                  <c:v>60年</c:v>
                </c:pt>
                <c:pt idx="4">
                  <c:v>平成2年</c:v>
                </c:pt>
                <c:pt idx="5">
                  <c:v>7年</c:v>
                </c:pt>
                <c:pt idx="6">
                  <c:v>12年</c:v>
                </c:pt>
                <c:pt idx="7">
                  <c:v>17年</c:v>
                </c:pt>
                <c:pt idx="8">
                  <c:v>22年</c:v>
                </c:pt>
                <c:pt idx="9">
                  <c:v>27年</c:v>
                </c:pt>
              </c:strCache>
            </c:strRef>
          </c:cat>
          <c:val>
            <c:numRef>
              <c:f>グラフ!$I$126:$I$135</c:f>
              <c:numCache>
                <c:formatCode>#,##0_);[Red]\(#,##0\)</c:formatCode>
                <c:ptCount val="10"/>
                <c:pt idx="0">
                  <c:v>20362</c:v>
                </c:pt>
                <c:pt idx="1">
                  <c:v>29382</c:v>
                </c:pt>
                <c:pt idx="2">
                  <c:v>34773</c:v>
                </c:pt>
                <c:pt idx="3">
                  <c:v>40547</c:v>
                </c:pt>
                <c:pt idx="4">
                  <c:v>44316</c:v>
                </c:pt>
                <c:pt idx="5">
                  <c:v>47360</c:v>
                </c:pt>
                <c:pt idx="6">
                  <c:v>50440</c:v>
                </c:pt>
                <c:pt idx="7">
                  <c:v>52128</c:v>
                </c:pt>
                <c:pt idx="8">
                  <c:v>53948</c:v>
                </c:pt>
                <c:pt idx="9">
                  <c:v>55471</c:v>
                </c:pt>
              </c:numCache>
            </c:numRef>
          </c:val>
        </c:ser>
        <c:ser>
          <c:idx val="1"/>
          <c:order val="1"/>
          <c:tx>
            <c:strRef>
              <c:f>グラフ!$J$125</c:f>
              <c:strCache>
                <c:ptCount val="1"/>
                <c:pt idx="0">
                  <c:v>女</c:v>
                </c:pt>
              </c:strCache>
            </c:strRef>
          </c:tx>
          <c:spPr>
            <a:solidFill>
              <a:schemeClr val="bg1">
                <a:lumMod val="85000"/>
              </a:schemeClr>
            </a:solidFill>
            <a:ln w="12700">
              <a:solidFill>
                <a:srgbClr val="000000"/>
              </a:solidFill>
              <a:prstDash val="solid"/>
            </a:ln>
          </c:spPr>
          <c:invertIfNegative val="0"/>
          <c:dLbls>
            <c:dLbl>
              <c:idx val="3"/>
              <c:layout>
                <c:manualLayout>
                  <c:x val="-7.0141067613768679E-17"/>
                  <c:y val="-8.1161073544622361E-2"/>
                </c:manualLayout>
              </c:layout>
              <c:dLblPos val="ctr"/>
              <c:showLegendKey val="0"/>
              <c:showVal val="1"/>
              <c:showCatName val="0"/>
              <c:showSerName val="0"/>
              <c:showPercent val="0"/>
              <c:showBubbleSize val="0"/>
              <c:extLst>
                <c:ext xmlns:c15="http://schemas.microsoft.com/office/drawing/2012/chart" uri="{CE6537A1-D6FC-4f65-9D91-7224C49458BB}"/>
              </c:extLst>
            </c:dLbl>
            <c:dLbl>
              <c:idx val="9"/>
              <c:layout>
                <c:manualLayout>
                  <c:x val="-3.8259206121474382E-3"/>
                  <c:y val="-0.14741424975636591"/>
                </c:manualLayout>
              </c:layout>
              <c:dLblPos val="ctr"/>
              <c:showLegendKey val="0"/>
              <c:showVal val="1"/>
              <c:showCatName val="0"/>
              <c:showSerName val="0"/>
              <c:showPercent val="0"/>
              <c:showBubbleSize val="0"/>
              <c:extLst>
                <c:ext xmlns:c15="http://schemas.microsoft.com/office/drawing/2012/chart" uri="{CE6537A1-D6FC-4f65-9D91-7224C49458BB}"/>
              </c:extLst>
            </c:dLbl>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グラフ!$H$126:$H$135</c:f>
              <c:strCache>
                <c:ptCount val="10"/>
                <c:pt idx="0">
                  <c:v>昭和45年</c:v>
                </c:pt>
                <c:pt idx="1">
                  <c:v>50年</c:v>
                </c:pt>
                <c:pt idx="2">
                  <c:v>55年</c:v>
                </c:pt>
                <c:pt idx="3">
                  <c:v>60年</c:v>
                </c:pt>
                <c:pt idx="4">
                  <c:v>平成2年</c:v>
                </c:pt>
                <c:pt idx="5">
                  <c:v>7年</c:v>
                </c:pt>
                <c:pt idx="6">
                  <c:v>12年</c:v>
                </c:pt>
                <c:pt idx="7">
                  <c:v>17年</c:v>
                </c:pt>
                <c:pt idx="8">
                  <c:v>22年</c:v>
                </c:pt>
                <c:pt idx="9">
                  <c:v>27年</c:v>
                </c:pt>
              </c:strCache>
            </c:strRef>
          </c:cat>
          <c:val>
            <c:numRef>
              <c:f>グラフ!$J$126:$J$135</c:f>
              <c:numCache>
                <c:formatCode>#,##0_);[Red]\(#,##0\)</c:formatCode>
                <c:ptCount val="10"/>
                <c:pt idx="0">
                  <c:v>21406</c:v>
                </c:pt>
                <c:pt idx="1">
                  <c:v>29907</c:v>
                </c:pt>
                <c:pt idx="2">
                  <c:v>35509</c:v>
                </c:pt>
                <c:pt idx="3">
                  <c:v>41064</c:v>
                </c:pt>
                <c:pt idx="4">
                  <c:v>45678</c:v>
                </c:pt>
                <c:pt idx="5">
                  <c:v>48642</c:v>
                </c:pt>
                <c:pt idx="6">
                  <c:v>52294</c:v>
                </c:pt>
                <c:pt idx="7">
                  <c:v>53921</c:v>
                </c:pt>
                <c:pt idx="8">
                  <c:v>56403</c:v>
                </c:pt>
                <c:pt idx="9" formatCode="_ * #,##0_ ;_ * &quot;△&quot;#,##0_ ;_ * \-_ ;_ @_ ">
                  <c:v>58761</c:v>
                </c:pt>
              </c:numCache>
            </c:numRef>
          </c:val>
        </c:ser>
        <c:dLbls>
          <c:showLegendKey val="0"/>
          <c:showVal val="1"/>
          <c:showCatName val="0"/>
          <c:showSerName val="0"/>
          <c:showPercent val="0"/>
          <c:showBubbleSize val="0"/>
        </c:dLbls>
        <c:gapWidth val="40"/>
        <c:overlap val="100"/>
        <c:axId val="487325480"/>
        <c:axId val="487321168"/>
      </c:barChart>
      <c:lineChart>
        <c:grouping val="standard"/>
        <c:varyColors val="0"/>
        <c:ser>
          <c:idx val="2"/>
          <c:order val="2"/>
          <c:tx>
            <c:strRef>
              <c:f>グラフ!$K$125</c:f>
              <c:strCache>
                <c:ptCount val="1"/>
                <c:pt idx="0">
                  <c:v>増加率</c:v>
                </c:pt>
              </c:strCache>
            </c:strRef>
          </c:tx>
          <c:spPr>
            <a:ln w="25400">
              <a:solidFill>
                <a:srgbClr val="000000"/>
              </a:solidFill>
              <a:prstDash val="solid"/>
            </a:ln>
          </c:spPr>
          <c:marker>
            <c:symbol val="triangle"/>
            <c:size val="6"/>
            <c:spPr>
              <a:solidFill>
                <a:srgbClr val="000000"/>
              </a:solidFill>
              <a:ln>
                <a:solidFill>
                  <a:srgbClr val="000000"/>
                </a:solidFill>
                <a:prstDash val="solid"/>
              </a:ln>
            </c:spPr>
          </c:marker>
          <c:dLbls>
            <c:dLbl>
              <c:idx val="0"/>
              <c:layout>
                <c:manualLayout>
                  <c:x val="-4.1922600421001911E-2"/>
                  <c:y val="-4.0546697038724426E-2"/>
                </c:manualLayout>
              </c:layout>
              <c:dLblPos val="r"/>
              <c:showLegendKey val="0"/>
              <c:showVal val="1"/>
              <c:showCatName val="0"/>
              <c:showSerName val="0"/>
              <c:showPercent val="0"/>
              <c:showBubbleSize val="0"/>
              <c:extLst>
                <c:ext xmlns:c15="http://schemas.microsoft.com/office/drawing/2012/chart" uri="{CE6537A1-D6FC-4f65-9D91-7224C49458BB}"/>
              </c:extLst>
            </c:dLbl>
            <c:dLbl>
              <c:idx val="2"/>
              <c:layout>
                <c:manualLayout>
                  <c:x val="-3.618371950278098E-2"/>
                  <c:y val="3.234624145785877E-2"/>
                </c:manualLayout>
              </c:layout>
              <c:dLblPos val="r"/>
              <c:showLegendKey val="0"/>
              <c:showVal val="1"/>
              <c:showCatName val="0"/>
              <c:showSerName val="0"/>
              <c:showPercent val="0"/>
              <c:showBubbleSize val="0"/>
              <c:extLst>
                <c:ext xmlns:c15="http://schemas.microsoft.com/office/drawing/2012/chart" uri="{CE6537A1-D6FC-4f65-9D91-7224C49458BB}"/>
              </c:extLst>
            </c:dLbl>
            <c:dLbl>
              <c:idx val="3"/>
              <c:layout>
                <c:manualLayout>
                  <c:x val="-3.6183719502781014E-2"/>
                  <c:y val="-4.0546697038724371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グラフ!$H$126:$H$135</c:f>
              <c:strCache>
                <c:ptCount val="10"/>
                <c:pt idx="0">
                  <c:v>昭和45年</c:v>
                </c:pt>
                <c:pt idx="1">
                  <c:v>50年</c:v>
                </c:pt>
                <c:pt idx="2">
                  <c:v>55年</c:v>
                </c:pt>
                <c:pt idx="3">
                  <c:v>60年</c:v>
                </c:pt>
                <c:pt idx="4">
                  <c:v>平成2年</c:v>
                </c:pt>
                <c:pt idx="5">
                  <c:v>7年</c:v>
                </c:pt>
                <c:pt idx="6">
                  <c:v>12年</c:v>
                </c:pt>
                <c:pt idx="7">
                  <c:v>17年</c:v>
                </c:pt>
                <c:pt idx="8">
                  <c:v>22年</c:v>
                </c:pt>
                <c:pt idx="9">
                  <c:v>27年</c:v>
                </c:pt>
              </c:strCache>
            </c:strRef>
          </c:cat>
          <c:val>
            <c:numRef>
              <c:f>グラフ!$K$126:$K$135</c:f>
              <c:numCache>
                <c:formatCode>0.00_);[Red]\(0.00\)</c:formatCode>
                <c:ptCount val="10"/>
                <c:pt idx="0">
                  <c:v>35.520000000000003</c:v>
                </c:pt>
                <c:pt idx="1">
                  <c:v>41.95</c:v>
                </c:pt>
                <c:pt idx="2">
                  <c:v>18.54</c:v>
                </c:pt>
                <c:pt idx="3">
                  <c:v>16.12</c:v>
                </c:pt>
                <c:pt idx="4">
                  <c:v>10.27</c:v>
                </c:pt>
                <c:pt idx="5">
                  <c:v>6.68</c:v>
                </c:pt>
                <c:pt idx="6">
                  <c:v>7.01</c:v>
                </c:pt>
                <c:pt idx="7">
                  <c:v>3.23</c:v>
                </c:pt>
                <c:pt idx="8">
                  <c:v>4.0599999999999996</c:v>
                </c:pt>
                <c:pt idx="9">
                  <c:v>3.52</c:v>
                </c:pt>
              </c:numCache>
            </c:numRef>
          </c:val>
          <c:smooth val="0"/>
        </c:ser>
        <c:dLbls>
          <c:showLegendKey val="0"/>
          <c:showVal val="1"/>
          <c:showCatName val="0"/>
          <c:showSerName val="0"/>
          <c:showPercent val="0"/>
          <c:showBubbleSize val="0"/>
        </c:dLbls>
        <c:marker val="1"/>
        <c:smooth val="0"/>
        <c:axId val="487322344"/>
        <c:axId val="487321952"/>
      </c:lineChart>
      <c:catAx>
        <c:axId val="48732548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87321168"/>
        <c:crosses val="autoZero"/>
        <c:auto val="1"/>
        <c:lblAlgn val="ctr"/>
        <c:lblOffset val="100"/>
        <c:tickLblSkip val="1"/>
        <c:tickMarkSkip val="1"/>
        <c:noMultiLvlLbl val="0"/>
      </c:catAx>
      <c:valAx>
        <c:axId val="487321168"/>
        <c:scaling>
          <c:orientation val="minMax"/>
        </c:scaling>
        <c:delete val="0"/>
        <c:axPos val="l"/>
        <c:majorGridlines>
          <c:spPr>
            <a:ln w="3175">
              <a:solidFill>
                <a:srgbClr val="000000"/>
              </a:solidFill>
              <a:prstDash val="sysDash"/>
            </a:ln>
          </c:spPr>
        </c:majorGridlines>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9.3148062374557694E-2"/>
              <c:y val="1.6624038168349689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87325480"/>
        <c:crosses val="autoZero"/>
        <c:crossBetween val="between"/>
      </c:valAx>
      <c:catAx>
        <c:axId val="487322344"/>
        <c:scaling>
          <c:orientation val="minMax"/>
        </c:scaling>
        <c:delete val="1"/>
        <c:axPos val="b"/>
        <c:numFmt formatCode="General" sourceLinked="1"/>
        <c:majorTickMark val="out"/>
        <c:minorTickMark val="none"/>
        <c:tickLblPos val="none"/>
        <c:crossAx val="487321952"/>
        <c:crossesAt val="0"/>
        <c:auto val="1"/>
        <c:lblAlgn val="ctr"/>
        <c:lblOffset val="100"/>
        <c:noMultiLvlLbl val="0"/>
      </c:catAx>
      <c:valAx>
        <c:axId val="487321952"/>
        <c:scaling>
          <c:orientation val="minMax"/>
          <c:max val="50"/>
          <c:min val="0"/>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86584785940495479"/>
              <c:y val="2.2698449709731613E-2"/>
            </c:manualLayout>
          </c:layout>
          <c:overlay val="0"/>
          <c:spPr>
            <a:noFill/>
            <a:ln w="25400">
              <a:noFill/>
            </a:ln>
          </c:spPr>
        </c:title>
        <c:numFmt formatCode="0_);[Red]\(0\)" sourceLinked="0"/>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87322344"/>
        <c:crosses val="max"/>
        <c:crossBetween val="between"/>
        <c:majorUnit val="5"/>
      </c:valAx>
      <c:spPr>
        <a:noFill/>
        <a:ln w="12700">
          <a:solidFill>
            <a:srgbClr val="000000"/>
          </a:solidFill>
          <a:prstDash val="solid"/>
        </a:ln>
      </c:spPr>
    </c:plotArea>
    <c:legend>
      <c:legendPos val="b"/>
      <c:layout>
        <c:manualLayout>
          <c:xMode val="edge"/>
          <c:yMode val="edge"/>
          <c:x val="0.27546628407461016"/>
          <c:y val="0.91571753986332549"/>
          <c:w val="0.46341463414634132"/>
          <c:h val="7.5170842824601403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102"/>
      <c:rotY val="20"/>
      <c:depthPercent val="130"/>
      <c:rAngAx val="1"/>
    </c:view3D>
    <c:floor>
      <c:thickness val="0"/>
      <c:spPr>
        <a:solidFill>
          <a:srgbClr val="FFFFFF"/>
        </a:solidFill>
        <a:ln w="12700">
          <a:solidFill>
            <a:srgbClr val="000000"/>
          </a:solidFill>
          <a:prstDash val="solid"/>
        </a:ln>
      </c:spPr>
    </c:floor>
    <c:sideWall>
      <c:thickness val="0"/>
      <c:spPr>
        <a:solidFill>
          <a:srgbClr val="FFFFFF"/>
        </a:solidFill>
        <a:ln w="12700">
          <a:solidFill>
            <a:srgbClr val="000000"/>
          </a:solidFill>
          <a:prstDash val="solid"/>
        </a:ln>
      </c:spPr>
    </c:sideWall>
    <c:backWall>
      <c:thickness val="0"/>
      <c:spPr>
        <a:solidFill>
          <a:srgbClr val="FFFFFF"/>
        </a:solidFill>
        <a:ln w="12700">
          <a:solidFill>
            <a:srgbClr val="000000"/>
          </a:solidFill>
          <a:prstDash val="solid"/>
        </a:ln>
      </c:spPr>
    </c:backWall>
    <c:plotArea>
      <c:layout>
        <c:manualLayout>
          <c:layoutTarget val="inner"/>
          <c:xMode val="edge"/>
          <c:yMode val="edge"/>
          <c:x val="0.1328324053111424"/>
          <c:y val="1.6632033515821446E-2"/>
          <c:w val="0.84461359603499975"/>
          <c:h val="0.76923155010674182"/>
        </c:manualLayout>
      </c:layout>
      <c:bar3DChart>
        <c:barDir val="col"/>
        <c:grouping val="clustered"/>
        <c:varyColors val="0"/>
        <c:ser>
          <c:idx val="0"/>
          <c:order val="0"/>
          <c:spPr>
            <a:pattFill prst="ltUpDiag">
              <a:fgClr>
                <a:srgbClr val="000000"/>
              </a:fgClr>
              <a:bgClr>
                <a:srgbClr val="FFFFFF"/>
              </a:bgClr>
            </a:pattFill>
            <a:ln w="12700">
              <a:solidFill>
                <a:srgbClr val="000000"/>
              </a:solidFill>
              <a:prstDash val="solid"/>
            </a:ln>
          </c:spPr>
          <c:invertIfNegative val="0"/>
          <c:dLbls>
            <c:dLbl>
              <c:idx val="0"/>
              <c:layout>
                <c:manualLayout>
                  <c:x val="1.5625941494155342E-2"/>
                  <c:y val="-1.2037040068536132E-2"/>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1.312020208000316E-2"/>
                  <c:y val="1.162276752827934E-3"/>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7.399864490622925E-3"/>
                  <c:y val="4.6986538325121093E-3"/>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1.0097126184100113E-2"/>
                  <c:y val="3.7554058477920309E-3"/>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1.9658069057156718E-3"/>
                  <c:y val="-1.4208151216025235E-2"/>
                </c:manualLayout>
              </c:layout>
              <c:showLegendKey val="0"/>
              <c:showVal val="1"/>
              <c:showCatName val="0"/>
              <c:showSerName val="0"/>
              <c:showPercent val="0"/>
              <c:showBubbleSize val="0"/>
              <c:extLst>
                <c:ext xmlns:c15="http://schemas.microsoft.com/office/drawing/2012/chart" uri="{CE6537A1-D6FC-4f65-9D91-7224C49458BB}"/>
              </c:extLst>
            </c:dLbl>
            <c:dLbl>
              <c:idx val="5"/>
              <c:layout>
                <c:manualLayout>
                  <c:x val="9.7393089021766983E-3"/>
                  <c:y val="-1.0630521496663258E-2"/>
                </c:manualLayout>
              </c:layout>
              <c:showLegendKey val="0"/>
              <c:showVal val="1"/>
              <c:showCatName val="0"/>
              <c:showSerName val="0"/>
              <c:showPercent val="0"/>
              <c:showBubbleSize val="0"/>
              <c:extLst>
                <c:ext xmlns:c15="http://schemas.microsoft.com/office/drawing/2012/chart" uri="{CE6537A1-D6FC-4f65-9D91-7224C49458BB}"/>
              </c:extLst>
            </c:dLbl>
            <c:dLbl>
              <c:idx val="6"/>
              <c:layout>
                <c:manualLayout>
                  <c:x val="4.0189713127964264E-3"/>
                  <c:y val="-5.2986723852865717E-3"/>
                </c:manualLayout>
              </c:layout>
              <c:showLegendKey val="0"/>
              <c:showVal val="1"/>
              <c:showCatName val="0"/>
              <c:showSerName val="0"/>
              <c:showPercent val="0"/>
              <c:showBubbleSize val="0"/>
              <c:extLst>
                <c:ext xmlns:c15="http://schemas.microsoft.com/office/drawing/2012/chart" uri="{CE6537A1-D6FC-4f65-9D91-7224C49458BB}"/>
              </c:extLst>
            </c:dLbl>
            <c:dLbl>
              <c:idx val="7"/>
              <c:layout>
                <c:manualLayout>
                  <c:x val="9.2543695195995267E-3"/>
                  <c:y val="-5.0286749499347926E-3"/>
                </c:manualLayout>
              </c:layout>
              <c:showLegendKey val="0"/>
              <c:showVal val="1"/>
              <c:showCatName val="0"/>
              <c:showSerName val="0"/>
              <c:showPercent val="0"/>
              <c:showBubbleSize val="0"/>
              <c:extLst>
                <c:ext xmlns:c15="http://schemas.microsoft.com/office/drawing/2012/chart" uri="{CE6537A1-D6FC-4f65-9D91-7224C49458BB}"/>
              </c:extLst>
            </c:dLbl>
            <c:dLbl>
              <c:idx val="8"/>
              <c:layout>
                <c:manualLayout>
                  <c:x val="1.3686183963846625E-2"/>
                  <c:y val="-7.6219162833336138E-3"/>
                </c:manualLayout>
              </c:layout>
              <c:showLegendKey val="0"/>
              <c:showVal val="1"/>
              <c:showCatName val="0"/>
              <c:showSerName val="0"/>
              <c:showPercent val="0"/>
              <c:showBubbleSize val="0"/>
              <c:extLst>
                <c:ext xmlns:c15="http://schemas.microsoft.com/office/drawing/2012/chart" uri="{CE6537A1-D6FC-4f65-9D91-7224C49458BB}"/>
              </c:extLst>
            </c:dLbl>
            <c:dLbl>
              <c:idx val="9"/>
              <c:layout>
                <c:manualLayout>
                  <c:x val="6.3584157243502474E-3"/>
                  <c:y val="-9.2384086084873508E-3"/>
                </c:manualLayout>
              </c:layout>
              <c:showLegendKey val="0"/>
              <c:showVal val="1"/>
              <c:showCatName val="0"/>
              <c:showSerName val="0"/>
              <c:showPercent val="0"/>
              <c:showBubbleSize val="0"/>
              <c:extLst>
                <c:ext xmlns:c15="http://schemas.microsoft.com/office/drawing/2012/chart" uri="{CE6537A1-D6FC-4f65-9D91-7224C49458BB}"/>
              </c:extLst>
            </c:dLbl>
            <c:dLbl>
              <c:idx val="10"/>
              <c:layout>
                <c:manualLayout>
                  <c:x val="1.0790230168597349E-2"/>
                  <c:y val="-8.9681929052007892E-3"/>
                </c:manualLayout>
              </c:layout>
              <c:showLegendKey val="0"/>
              <c:showVal val="1"/>
              <c:showCatName val="0"/>
              <c:showSerName val="0"/>
              <c:showPercent val="0"/>
              <c:showBubbleSize val="0"/>
              <c:extLst>
                <c:ext xmlns:c15="http://schemas.microsoft.com/office/drawing/2012/chart" uri="{CE6537A1-D6FC-4f65-9D91-7224C49458BB}"/>
              </c:extLst>
            </c:dLbl>
            <c:dLbl>
              <c:idx val="11"/>
              <c:layout>
                <c:manualLayout>
                  <c:x val="1.0146363283536927E-2"/>
                  <c:y val="-1.7014203785857329E-2"/>
                </c:manualLayout>
              </c:layout>
              <c:showLegendKey val="0"/>
              <c:showVal val="1"/>
              <c:showCatName val="0"/>
              <c:showSerName val="0"/>
              <c:showPercent val="0"/>
              <c:showBubbleSize val="0"/>
              <c:extLst>
                <c:ext xmlns:c15="http://schemas.microsoft.com/office/drawing/2012/chart" uri="{CE6537A1-D6FC-4f65-9D91-7224C49458BB}"/>
              </c:extLst>
            </c:dLbl>
            <c:dLbl>
              <c:idx val="12"/>
              <c:layout>
                <c:manualLayout>
                  <c:x val="1.4450825225794149E-2"/>
                  <c:y val="-6.1961901331980124E-3"/>
                </c:manualLayout>
              </c:layout>
              <c:showLegendKey val="0"/>
              <c:showVal val="1"/>
              <c:showCatName val="0"/>
              <c:showSerName val="0"/>
              <c:showPercent val="0"/>
              <c:showBubbleSize val="0"/>
              <c:extLst>
                <c:ext xmlns:c15="http://schemas.microsoft.com/office/drawing/2012/chart" uri="{CE6537A1-D6FC-4f65-9D91-7224C49458BB}"/>
              </c:extLst>
            </c:dLbl>
            <c:dLbl>
              <c:idx val="13"/>
              <c:layout>
                <c:manualLayout>
                  <c:x val="8.8575770133996617E-3"/>
                  <c:y val="-6.9529250631612839E-3"/>
                </c:manualLayout>
              </c:layout>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nchor="b" anchorCtr="1"/>
              <a:lstStyle/>
              <a:p>
                <a:pPr algn="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グラフ!$H$17:$H$30</c:f>
              <c:strCache>
                <c:ptCount val="14"/>
                <c:pt idx="0">
                  <c:v>米　国</c:v>
                </c:pt>
                <c:pt idx="1">
                  <c:v>中　国</c:v>
                </c:pt>
                <c:pt idx="2">
                  <c:v>韓国・朝鮮</c:v>
                </c:pt>
                <c:pt idx="3">
                  <c:v>フィリピン</c:v>
                </c:pt>
                <c:pt idx="4">
                  <c:v>ネパール</c:v>
                </c:pt>
                <c:pt idx="5">
                  <c:v>ベトナム</c:v>
                </c:pt>
                <c:pt idx="6">
                  <c:v>タイ</c:v>
                </c:pt>
                <c:pt idx="7">
                  <c:v>カナダ</c:v>
                </c:pt>
                <c:pt idx="8">
                  <c:v>ブラジル</c:v>
                </c:pt>
                <c:pt idx="9">
                  <c:v>アルゼンチン</c:v>
                </c:pt>
                <c:pt idx="10">
                  <c:v>ペルー</c:v>
                </c:pt>
                <c:pt idx="11">
                  <c:v>ボリビア</c:v>
                </c:pt>
                <c:pt idx="12">
                  <c:v>英国</c:v>
                </c:pt>
                <c:pt idx="13">
                  <c:v>その他</c:v>
                </c:pt>
              </c:strCache>
            </c:strRef>
          </c:cat>
          <c:val>
            <c:numRef>
              <c:f>グラフ!$I$17:$I$30</c:f>
              <c:numCache>
                <c:formatCode>#,##0_);[Red]\(#,##0\)</c:formatCode>
                <c:ptCount val="14"/>
                <c:pt idx="0">
                  <c:v>112</c:v>
                </c:pt>
                <c:pt idx="1">
                  <c:v>98</c:v>
                </c:pt>
                <c:pt idx="2">
                  <c:v>69</c:v>
                </c:pt>
                <c:pt idx="3">
                  <c:v>72</c:v>
                </c:pt>
                <c:pt idx="4">
                  <c:v>472</c:v>
                </c:pt>
                <c:pt idx="5">
                  <c:v>111</c:v>
                </c:pt>
                <c:pt idx="6">
                  <c:v>10</c:v>
                </c:pt>
                <c:pt idx="7">
                  <c:v>6</c:v>
                </c:pt>
                <c:pt idx="8">
                  <c:v>8</c:v>
                </c:pt>
                <c:pt idx="9">
                  <c:v>6</c:v>
                </c:pt>
                <c:pt idx="10">
                  <c:v>10</c:v>
                </c:pt>
                <c:pt idx="11">
                  <c:v>0</c:v>
                </c:pt>
                <c:pt idx="12">
                  <c:v>9</c:v>
                </c:pt>
                <c:pt idx="13">
                  <c:v>119</c:v>
                </c:pt>
              </c:numCache>
            </c:numRef>
          </c:val>
        </c:ser>
        <c:dLbls>
          <c:showLegendKey val="0"/>
          <c:showVal val="1"/>
          <c:showCatName val="0"/>
          <c:showSerName val="0"/>
          <c:showPercent val="0"/>
          <c:showBubbleSize val="0"/>
        </c:dLbls>
        <c:gapWidth val="110"/>
        <c:gapDepth val="120"/>
        <c:shape val="box"/>
        <c:axId val="487323912"/>
        <c:axId val="487324304"/>
        <c:axId val="0"/>
      </c:bar3DChart>
      <c:catAx>
        <c:axId val="487323912"/>
        <c:scaling>
          <c:orientation val="minMax"/>
        </c:scaling>
        <c:delete val="0"/>
        <c:axPos val="b"/>
        <c:numFmt formatCode="General" sourceLinked="1"/>
        <c:majorTickMark val="in"/>
        <c:minorTickMark val="none"/>
        <c:tickLblPos val="low"/>
        <c:spPr>
          <a:ln w="3175">
            <a:solidFill>
              <a:srgbClr val="000000"/>
            </a:solidFill>
            <a:prstDash val="solid"/>
          </a:ln>
        </c:spPr>
        <c:txPr>
          <a:bodyPr rot="0" vert="wordArtVertRtl"/>
          <a:lstStyle/>
          <a:p>
            <a:pPr>
              <a:defRPr sz="900" b="0" i="0" u="none" strike="noStrike" baseline="0">
                <a:solidFill>
                  <a:srgbClr val="000000"/>
                </a:solidFill>
                <a:latin typeface="ＭＳ Ｐゴシック"/>
                <a:ea typeface="ＭＳ Ｐゴシック"/>
                <a:cs typeface="ＭＳ Ｐゴシック"/>
              </a:defRPr>
            </a:pPr>
            <a:endParaRPr lang="ja-JP"/>
          </a:p>
        </c:txPr>
        <c:crossAx val="487324304"/>
        <c:crosses val="autoZero"/>
        <c:auto val="1"/>
        <c:lblAlgn val="ctr"/>
        <c:lblOffset val="100"/>
        <c:tickLblSkip val="1"/>
        <c:tickMarkSkip val="1"/>
        <c:noMultiLvlLbl val="0"/>
      </c:catAx>
      <c:valAx>
        <c:axId val="487324304"/>
        <c:scaling>
          <c:orientation val="minMax"/>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5.9138923424046537E-2"/>
              <c:y val="1.8962681639847278E-2"/>
            </c:manualLayout>
          </c:layout>
          <c:overlay val="0"/>
          <c:spPr>
            <a:noFill/>
            <a:ln w="25400">
              <a:noFill/>
            </a:ln>
          </c:spPr>
        </c:title>
        <c:numFmt formatCode="#,##0_);[Red]\(#,##0\)" sourceLinked="1"/>
        <c:majorTickMark val="none"/>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87323912"/>
        <c:crosses val="autoZero"/>
        <c:crossBetween val="between"/>
        <c:majorUnit val="30"/>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855670103092793E-2"/>
          <c:y val="8.88324873096447E-2"/>
          <c:w val="0.89003436426116656"/>
          <c:h val="0.80964467005076912"/>
        </c:manualLayout>
      </c:layout>
      <c:barChart>
        <c:barDir val="col"/>
        <c:grouping val="percentStacked"/>
        <c:varyColors val="0"/>
        <c:ser>
          <c:idx val="1"/>
          <c:order val="0"/>
          <c:tx>
            <c:strRef>
              <c:f>グラフ!$I$156</c:f>
              <c:strCache>
                <c:ptCount val="1"/>
                <c:pt idx="0">
                  <c:v>人口集中地区</c:v>
                </c:pt>
              </c:strCache>
            </c:strRef>
          </c:tx>
          <c:spPr>
            <a:pattFill prst="pct25">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グラフ!$H$157:$H$158</c:f>
              <c:strCache>
                <c:ptCount val="2"/>
                <c:pt idx="0">
                  <c:v>面積</c:v>
                </c:pt>
                <c:pt idx="1">
                  <c:v>人口</c:v>
                </c:pt>
              </c:strCache>
            </c:strRef>
          </c:cat>
          <c:val>
            <c:numRef>
              <c:f>グラフ!$I$157:$I$158</c:f>
              <c:numCache>
                <c:formatCode>#.0"%"</c:formatCode>
                <c:ptCount val="2"/>
                <c:pt idx="0">
                  <c:v>64.014373716632448</c:v>
                </c:pt>
                <c:pt idx="1">
                  <c:v>97.318614748931992</c:v>
                </c:pt>
              </c:numCache>
            </c:numRef>
          </c:val>
        </c:ser>
        <c:ser>
          <c:idx val="0"/>
          <c:order val="1"/>
          <c:tx>
            <c:strRef>
              <c:f>グラフ!$J$156</c:f>
              <c:strCache>
                <c:ptCount val="1"/>
                <c:pt idx="0">
                  <c:v>人口集中地区外</c:v>
                </c:pt>
              </c:strCache>
            </c:strRef>
          </c:tx>
          <c:spPr>
            <a:pattFill prst="ltDnDiag">
              <a:fgClr>
                <a:srgbClr val="FFFFFF"/>
              </a:fgClr>
              <a:bgClr>
                <a:srgbClr val="FFFFFF"/>
              </a:bgClr>
            </a:pattFill>
            <a:ln w="12700">
              <a:solidFill>
                <a:srgbClr val="000000"/>
              </a:solidFill>
              <a:prstDash val="solid"/>
            </a:ln>
          </c:spPr>
          <c:invertIfNegative val="0"/>
          <c:dPt>
            <c:idx val="0"/>
            <c:invertIfNegative val="0"/>
            <c:bubble3D val="0"/>
            <c:spPr>
              <a:pattFill prst="pct10">
                <a:fgClr>
                  <a:srgbClr val="FFFFFF"/>
                </a:fgClr>
                <a:bgClr>
                  <a:srgbClr val="FFFFFF"/>
                </a:bgClr>
              </a:pattFill>
              <a:ln w="12700">
                <a:solidFill>
                  <a:srgbClr val="000000"/>
                </a:solidFill>
                <a:prstDash val="solid"/>
              </a:ln>
            </c:spPr>
          </c:dPt>
          <c:dLbls>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グラフ!$H$157:$H$158</c:f>
              <c:strCache>
                <c:ptCount val="2"/>
                <c:pt idx="0">
                  <c:v>面積</c:v>
                </c:pt>
                <c:pt idx="1">
                  <c:v>人口</c:v>
                </c:pt>
              </c:strCache>
            </c:strRef>
          </c:cat>
          <c:val>
            <c:numRef>
              <c:f>グラフ!$J$157:$J$158</c:f>
              <c:numCache>
                <c:formatCode>#.0"%"</c:formatCode>
                <c:ptCount val="2"/>
                <c:pt idx="0">
                  <c:v>35.985626283367552</c:v>
                </c:pt>
                <c:pt idx="1">
                  <c:v>2.6813852510680078</c:v>
                </c:pt>
              </c:numCache>
            </c:numRef>
          </c:val>
        </c:ser>
        <c:dLbls>
          <c:showLegendKey val="0"/>
          <c:showVal val="1"/>
          <c:showCatName val="0"/>
          <c:showSerName val="0"/>
          <c:showPercent val="0"/>
          <c:showBubbleSize val="0"/>
        </c:dLbls>
        <c:gapWidth val="20"/>
        <c:overlap val="100"/>
        <c:serLines>
          <c:spPr>
            <a:ln w="3175">
              <a:solidFill>
                <a:srgbClr val="FFFFFF"/>
              </a:solidFill>
              <a:prstDash val="sysDash"/>
            </a:ln>
          </c:spPr>
        </c:serLines>
        <c:axId val="487323128"/>
        <c:axId val="487325872"/>
      </c:barChart>
      <c:catAx>
        <c:axId val="487323128"/>
        <c:scaling>
          <c:orientation val="minMax"/>
        </c:scaling>
        <c:delete val="0"/>
        <c:axPos val="t"/>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87325872"/>
        <c:crosses val="max"/>
        <c:auto val="1"/>
        <c:lblAlgn val="ctr"/>
        <c:lblOffset val="100"/>
        <c:tickLblSkip val="1"/>
        <c:tickMarkSkip val="1"/>
        <c:noMultiLvlLbl val="0"/>
      </c:catAx>
      <c:valAx>
        <c:axId val="487325872"/>
        <c:scaling>
          <c:orientation val="minMax"/>
        </c:scaling>
        <c:delete val="0"/>
        <c:axPos val="l"/>
        <c:numFmt formatCode="0%" sourceLinked="1"/>
        <c:majorTickMark val="in"/>
        <c:minorTickMark val="none"/>
        <c:tickLblPos val="none"/>
        <c:spPr>
          <a:ln w="3175">
            <a:solidFill>
              <a:srgbClr val="000000"/>
            </a:solidFill>
            <a:prstDash val="solid"/>
          </a:ln>
        </c:spPr>
        <c:crossAx val="487323128"/>
        <c:crosses val="autoZero"/>
        <c:crossBetween val="between"/>
      </c:valAx>
      <c:spPr>
        <a:noFill/>
        <a:ln w="12700">
          <a:solidFill>
            <a:srgbClr val="000000"/>
          </a:solidFill>
          <a:prstDash val="solid"/>
        </a:ln>
      </c:spPr>
    </c:plotArea>
    <c:legend>
      <c:legendPos val="b"/>
      <c:layout>
        <c:manualLayout>
          <c:xMode val="edge"/>
          <c:yMode val="edge"/>
          <c:x val="0.15120274914089554"/>
          <c:y val="0.92893401015228461"/>
          <c:w val="0.71477663230241306"/>
          <c:h val="6.34517766497458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70454545454547E-2"/>
          <c:y val="6.3091482649842434E-2"/>
          <c:w val="0.80681818181818177"/>
          <c:h val="0.89589905362776789"/>
        </c:manualLayout>
      </c:layout>
      <c:doughnutChart>
        <c:varyColors val="1"/>
        <c:ser>
          <c:idx val="0"/>
          <c:order val="0"/>
          <c:spPr>
            <a:solidFill>
              <a:srgbClr val="9999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dPt>
          <c:dPt>
            <c:idx val="1"/>
            <c:bubble3D val="0"/>
            <c:spPr>
              <a:pattFill prst="pct10">
                <a:fgClr>
                  <a:srgbClr val="000000"/>
                </a:fgClr>
                <a:bgClr>
                  <a:srgbClr val="FFFFFF"/>
                </a:bgClr>
              </a:pattFill>
              <a:ln w="12700">
                <a:solidFill>
                  <a:srgbClr val="000000"/>
                </a:solidFill>
                <a:prstDash val="solid"/>
              </a:ln>
            </c:spPr>
          </c:dPt>
          <c:dPt>
            <c:idx val="2"/>
            <c:bubble3D val="0"/>
            <c:spPr>
              <a:pattFill prst="pct75">
                <a:fgClr>
                  <a:srgbClr val="000000"/>
                </a:fgClr>
                <a:bgClr>
                  <a:srgbClr val="FFFFFF"/>
                </a:bgClr>
              </a:pattFill>
              <a:ln w="12700">
                <a:solidFill>
                  <a:srgbClr val="000000"/>
                </a:solidFill>
                <a:prstDash val="solid"/>
              </a:ln>
            </c:spPr>
          </c:dPt>
          <c:dLbls>
            <c:dLbl>
              <c:idx val="0"/>
              <c:layout>
                <c:manualLayout>
                  <c:x val="1.0571462658076892E-2"/>
                  <c:y val="1.0056550502165121E-2"/>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15</a:t>
                    </a:r>
                    <a:r>
                      <a:rPr lang="ja-JP" altLang="en-US" sz="900" b="0" i="0" u="none" strike="noStrike" baseline="0">
                        <a:solidFill>
                          <a:srgbClr val="000000"/>
                        </a:solidFill>
                        <a:latin typeface="ＭＳ Ｐゴシック"/>
                        <a:ea typeface="ＭＳ Ｐゴシック"/>
                      </a:rPr>
                      <a:t>歳未満</a:t>
                    </a:r>
                  </a:p>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18%</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extLst>
            </c:dLbl>
            <c:dLbl>
              <c:idx val="1"/>
              <c:layout>
                <c:manualLayout>
                  <c:x val="6.4841028394177977E-2"/>
                  <c:y val="-2.5426364291214407E-2"/>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15</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64</a:t>
                    </a:r>
                    <a:r>
                      <a:rPr lang="ja-JP" altLang="en-US" sz="900" b="0" i="0" u="none" strike="noStrike" baseline="0">
                        <a:solidFill>
                          <a:srgbClr val="000000"/>
                        </a:solidFill>
                        <a:latin typeface="ＭＳ Ｐゴシック"/>
                        <a:ea typeface="ＭＳ Ｐゴシック"/>
                      </a:rPr>
                      <a:t>歳</a:t>
                    </a:r>
                  </a:p>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64%</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extLst>
            </c:dLbl>
            <c:dLbl>
              <c:idx val="2"/>
              <c:layout>
                <c:manualLayout>
                  <c:x val="-1.1942555476020321E-2"/>
                  <c:y val="-7.8544756037987225E-3"/>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65</a:t>
                    </a:r>
                    <a:r>
                      <a:rPr lang="ja-JP" altLang="en-US" sz="900" b="0" i="0" u="none" strike="noStrike" baseline="0">
                        <a:solidFill>
                          <a:srgbClr val="000000"/>
                        </a:solidFill>
                        <a:latin typeface="ＭＳ Ｐゴシック"/>
                        <a:ea typeface="ＭＳ Ｐゴシック"/>
                      </a:rPr>
                      <a:t>歳以上</a:t>
                    </a:r>
                  </a:p>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17%</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extLst>
            </c:dLbl>
            <c:numFmt formatCode="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1"/>
            <c:showSerName val="0"/>
            <c:showPercent val="1"/>
            <c:showBubbleSize val="0"/>
            <c:showLeaderLines val="0"/>
            <c:extLst>
              <c:ext xmlns:c15="http://schemas.microsoft.com/office/drawing/2012/chart" uri="{CE6537A1-D6FC-4f65-9D91-7224C49458BB}"/>
            </c:extLst>
          </c:dLbls>
          <c:cat>
            <c:strRef>
              <c:f>グラフ!$H$38:$H$40</c:f>
              <c:strCache>
                <c:ptCount val="3"/>
                <c:pt idx="0">
                  <c:v>15歳未満</c:v>
                </c:pt>
                <c:pt idx="1">
                  <c:v>15～64歳</c:v>
                </c:pt>
                <c:pt idx="2">
                  <c:v>65歳以上</c:v>
                </c:pt>
              </c:strCache>
            </c:strRef>
          </c:cat>
          <c:val>
            <c:numRef>
              <c:f>グラフ!$I$38:$I$40</c:f>
              <c:numCache>
                <c:formatCode>#,##0_);[Red]\(#,##0\)</c:formatCode>
                <c:ptCount val="3"/>
                <c:pt idx="0">
                  <c:v>10268</c:v>
                </c:pt>
                <c:pt idx="1">
                  <c:v>35916</c:v>
                </c:pt>
                <c:pt idx="2">
                  <c:v>9640</c:v>
                </c:pt>
              </c:numCache>
            </c:numRef>
          </c:val>
        </c:ser>
        <c:dLbls>
          <c:showLegendKey val="0"/>
          <c:showVal val="0"/>
          <c:showCatName val="1"/>
          <c:showSerName val="0"/>
          <c:showPercent val="1"/>
          <c:showBubbleSize val="0"/>
          <c:showLeaderLines val="0"/>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445045920225994"/>
          <c:y val="6.9977426636568904E-2"/>
          <c:w val="0.83246179705624757"/>
          <c:h val="0.77878103837473289"/>
        </c:manualLayout>
      </c:layout>
      <c:barChart>
        <c:barDir val="col"/>
        <c:grouping val="stacked"/>
        <c:varyColors val="0"/>
        <c:ser>
          <c:idx val="0"/>
          <c:order val="0"/>
          <c:tx>
            <c:strRef>
              <c:f>グラフ!$I$196</c:f>
              <c:strCache>
                <c:ptCount val="1"/>
                <c:pt idx="0">
                  <c:v>持ち家</c:v>
                </c:pt>
              </c:strCache>
            </c:strRef>
          </c:tx>
          <c:spPr>
            <a:pattFill prst="pct5">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グラフ!$H$197:$H$199</c:f>
              <c:strCache>
                <c:ptCount val="3"/>
                <c:pt idx="0">
                  <c:v>平成17年</c:v>
                </c:pt>
                <c:pt idx="1">
                  <c:v>22年</c:v>
                </c:pt>
                <c:pt idx="2">
                  <c:v>27年</c:v>
                </c:pt>
              </c:strCache>
            </c:strRef>
          </c:cat>
          <c:val>
            <c:numRef>
              <c:f>グラフ!$I$197:$I$199</c:f>
              <c:numCache>
                <c:formatCode>#,##0_);[Red]\(#,##0\)</c:formatCode>
                <c:ptCount val="3"/>
                <c:pt idx="0">
                  <c:v>16350</c:v>
                </c:pt>
                <c:pt idx="1">
                  <c:v>16933</c:v>
                </c:pt>
                <c:pt idx="2">
                  <c:v>18531</c:v>
                </c:pt>
              </c:numCache>
            </c:numRef>
          </c:val>
        </c:ser>
        <c:ser>
          <c:idx val="1"/>
          <c:order val="1"/>
          <c:tx>
            <c:strRef>
              <c:f>グラフ!$J$196</c:f>
              <c:strCache>
                <c:ptCount val="1"/>
                <c:pt idx="0">
                  <c:v>借家</c:v>
                </c:pt>
              </c:strCache>
            </c:strRef>
          </c:tx>
          <c:spPr>
            <a:pattFill prst="wdUpDiag">
              <a:fgClr>
                <a:srgbClr val="80808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グラフ!$H$197:$H$199</c:f>
              <c:strCache>
                <c:ptCount val="3"/>
                <c:pt idx="0">
                  <c:v>平成17年</c:v>
                </c:pt>
                <c:pt idx="1">
                  <c:v>22年</c:v>
                </c:pt>
                <c:pt idx="2">
                  <c:v>27年</c:v>
                </c:pt>
              </c:strCache>
            </c:strRef>
          </c:cat>
          <c:val>
            <c:numRef>
              <c:f>グラフ!$J$197:$J$199</c:f>
              <c:numCache>
                <c:formatCode>#,##0_);[Red]\(#,##0\)</c:formatCode>
                <c:ptCount val="3"/>
                <c:pt idx="0">
                  <c:v>20157</c:v>
                </c:pt>
                <c:pt idx="1">
                  <c:v>21936</c:v>
                </c:pt>
                <c:pt idx="2">
                  <c:v>23767</c:v>
                </c:pt>
              </c:numCache>
            </c:numRef>
          </c:val>
        </c:ser>
        <c:ser>
          <c:idx val="2"/>
          <c:order val="2"/>
          <c:tx>
            <c:strRef>
              <c:f>グラフ!$K$196</c:f>
              <c:strCache>
                <c:ptCount val="1"/>
                <c:pt idx="0">
                  <c:v>その他</c:v>
                </c:pt>
              </c:strCache>
            </c:strRef>
          </c:tx>
          <c:spPr>
            <a:pattFill prst="trellis">
              <a:fgClr>
                <a:srgbClr val="000000"/>
              </a:fgClr>
              <a:bgClr>
                <a:srgbClr val="FFFFFF"/>
              </a:bgClr>
            </a:pattFill>
            <a:ln w="12700">
              <a:solidFill>
                <a:srgbClr val="000000"/>
              </a:solidFill>
              <a:prstDash val="solid"/>
            </a:ln>
          </c:spPr>
          <c:invertIfNegative val="0"/>
          <c:dLbls>
            <c:dLbl>
              <c:idx val="0"/>
              <c:layout>
                <c:manualLayout>
                  <c:x val="-8.741043001303319E-3"/>
                  <c:y val="3.0628423220373452E-3"/>
                </c:manualLayout>
              </c:layout>
              <c:dLblPos val="ctr"/>
              <c:showLegendKey val="0"/>
              <c:showVal val="1"/>
              <c:showCatName val="0"/>
              <c:showSerName val="0"/>
              <c:showPercent val="0"/>
              <c:showBubbleSize val="0"/>
              <c:extLst>
                <c:ext xmlns:c15="http://schemas.microsoft.com/office/drawing/2012/chart" uri="{CE6537A1-D6FC-4f65-9D91-7224C49458BB}"/>
              </c:extLst>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グラフ!$H$197:$H$199</c:f>
              <c:strCache>
                <c:ptCount val="3"/>
                <c:pt idx="0">
                  <c:v>平成17年</c:v>
                </c:pt>
                <c:pt idx="1">
                  <c:v>22年</c:v>
                </c:pt>
                <c:pt idx="2">
                  <c:v>27年</c:v>
                </c:pt>
              </c:strCache>
            </c:strRef>
          </c:cat>
          <c:val>
            <c:numRef>
              <c:f>グラフ!$K$197:$K$199</c:f>
              <c:numCache>
                <c:formatCode>#,##0_);[Red]\(#,##0\)</c:formatCode>
                <c:ptCount val="3"/>
                <c:pt idx="0">
                  <c:v>1679</c:v>
                </c:pt>
                <c:pt idx="1">
                  <c:v>1825</c:v>
                </c:pt>
                <c:pt idx="2">
                  <c:v>1465</c:v>
                </c:pt>
              </c:numCache>
            </c:numRef>
          </c:val>
        </c:ser>
        <c:dLbls>
          <c:showLegendKey val="0"/>
          <c:showVal val="1"/>
          <c:showCatName val="0"/>
          <c:showSerName val="0"/>
          <c:showPercent val="0"/>
          <c:showBubbleSize val="0"/>
        </c:dLbls>
        <c:gapWidth val="30"/>
        <c:overlap val="100"/>
        <c:axId val="488560072"/>
        <c:axId val="488555368"/>
      </c:barChart>
      <c:catAx>
        <c:axId val="48856007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88555368"/>
        <c:crosses val="autoZero"/>
        <c:auto val="0"/>
        <c:lblAlgn val="ctr"/>
        <c:lblOffset val="100"/>
        <c:tickLblSkip val="1"/>
        <c:tickMarkSkip val="1"/>
        <c:noMultiLvlLbl val="0"/>
      </c:catAx>
      <c:valAx>
        <c:axId val="488555368"/>
        <c:scaling>
          <c:orientation val="minMax"/>
        </c:scaling>
        <c:delete val="0"/>
        <c:axPos val="l"/>
        <c:majorGridlines>
          <c:spPr>
            <a:ln w="3175">
              <a:solidFill>
                <a:srgbClr val="FFFFFF"/>
              </a:solidFill>
              <a:prstDash val="solid"/>
            </a:ln>
          </c:spPr>
        </c:majorGridlines>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世帯</a:t>
                </a:r>
              </a:p>
            </c:rich>
          </c:tx>
          <c:layout>
            <c:manualLayout>
              <c:xMode val="edge"/>
              <c:yMode val="edge"/>
              <c:x val="0.13874373033213999"/>
              <c:y val="2.0316027088036141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88560072"/>
        <c:crosses val="autoZero"/>
        <c:crossBetween val="between"/>
      </c:valAx>
      <c:spPr>
        <a:noFill/>
        <a:ln w="12700">
          <a:solidFill>
            <a:srgbClr val="000000"/>
          </a:solidFill>
          <a:prstDash val="solid"/>
        </a:ln>
      </c:spPr>
    </c:plotArea>
    <c:legend>
      <c:legendPos val="b"/>
      <c:layout>
        <c:manualLayout>
          <c:xMode val="edge"/>
          <c:yMode val="edge"/>
          <c:x val="0.1806282722513089"/>
          <c:y val="0.91196388261851646"/>
          <c:w val="0.74083769633508956"/>
          <c:h val="7.2234762979684008E-2"/>
        </c:manualLayout>
      </c:layout>
      <c:overlay val="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 footer="0.5"/>
    <c:pageSetup orientation="landscape" horizontalDpi="300" verticalDpi="300"/>
  </c:printSettings>
</c:chartSpace>
</file>

<file path=xl/drawings/_rels/drawing5.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2.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1.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0.xml"/><Relationship Id="rId5" Type="http://schemas.openxmlformats.org/officeDocument/2006/relationships/chart" Target="../charts/chart5.xml"/><Relationship Id="rId10" Type="http://schemas.openxmlformats.org/officeDocument/2006/relationships/chart" Target="../charts/chart9.xml"/><Relationship Id="rId4" Type="http://schemas.openxmlformats.org/officeDocument/2006/relationships/chart" Target="../charts/chart4.xml"/><Relationship Id="rId9"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19</xdr:col>
      <xdr:colOff>0</xdr:colOff>
      <xdr:row>52</xdr:row>
      <xdr:rowOff>0</xdr:rowOff>
    </xdr:from>
    <xdr:to>
      <xdr:col>21</xdr:col>
      <xdr:colOff>342900</xdr:colOff>
      <xdr:row>53</xdr:row>
      <xdr:rowOff>19050</xdr:rowOff>
    </xdr:to>
    <xdr:sp macro="" textlink="">
      <xdr:nvSpPr>
        <xdr:cNvPr id="8193" name="Text Box 2"/>
        <xdr:cNvSpPr txBox="1">
          <a:spLocks noChangeArrowheads="1"/>
        </xdr:cNvSpPr>
      </xdr:nvSpPr>
      <xdr:spPr bwMode="auto">
        <a:xfrm>
          <a:off x="10801350" y="10601325"/>
          <a:ext cx="1847850" cy="209550"/>
        </a:xfrm>
        <a:prstGeom prst="rect">
          <a:avLst/>
        </a:prstGeom>
        <a:noFill/>
        <a:ln w="9525">
          <a:noFill/>
          <a:round/>
          <a:headEnd/>
          <a:tailEnd/>
        </a:ln>
      </xdr:spPr>
    </xdr:sp>
    <xdr:clientData/>
  </xdr:twoCellAnchor>
  <xdr:twoCellAnchor>
    <xdr:from>
      <xdr:col>16</xdr:col>
      <xdr:colOff>438150</xdr:colOff>
      <xdr:row>48</xdr:row>
      <xdr:rowOff>142875</xdr:rowOff>
    </xdr:from>
    <xdr:to>
      <xdr:col>17</xdr:col>
      <xdr:colOff>104775</xdr:colOff>
      <xdr:row>50</xdr:row>
      <xdr:rowOff>180975</xdr:rowOff>
    </xdr:to>
    <xdr:sp macro="" textlink="" fLocksText="0">
      <xdr:nvSpPr>
        <xdr:cNvPr id="7171" name="Rectangle 12"/>
        <xdr:cNvSpPr>
          <a:spLocks noChangeArrowheads="1"/>
        </xdr:cNvSpPr>
      </xdr:nvSpPr>
      <xdr:spPr bwMode="auto">
        <a:xfrm>
          <a:off x="10010775" y="10096500"/>
          <a:ext cx="381000" cy="4191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22</xdr:col>
      <xdr:colOff>28575</xdr:colOff>
      <xdr:row>48</xdr:row>
      <xdr:rowOff>9525</xdr:rowOff>
    </xdr:from>
    <xdr:to>
      <xdr:col>22</xdr:col>
      <xdr:colOff>257175</xdr:colOff>
      <xdr:row>51</xdr:row>
      <xdr:rowOff>152400</xdr:rowOff>
    </xdr:to>
    <xdr:sp macro="" textlink="">
      <xdr:nvSpPr>
        <xdr:cNvPr id="8196" name="AutoShape 26"/>
        <xdr:cNvSpPr>
          <a:spLocks/>
        </xdr:cNvSpPr>
      </xdr:nvSpPr>
      <xdr:spPr bwMode="auto">
        <a:xfrm>
          <a:off x="13087350" y="9848850"/>
          <a:ext cx="228600" cy="714375"/>
        </a:xfrm>
        <a:prstGeom prst="rightBrace">
          <a:avLst>
            <a:gd name="adj1" fmla="val 0"/>
            <a:gd name="adj2" fmla="val 50000"/>
          </a:avLst>
        </a:prstGeom>
        <a:noFill/>
        <a:ln w="9360">
          <a:solidFill>
            <a:srgbClr val="000000"/>
          </a:solidFill>
          <a:miter lim="800000"/>
          <a:headEnd/>
          <a:tailEnd/>
        </a:ln>
      </xdr:spPr>
    </xdr:sp>
    <xdr:clientData/>
  </xdr:twoCellAnchor>
  <xdr:twoCellAnchor>
    <xdr:from>
      <xdr:col>16</xdr:col>
      <xdr:colOff>161925</xdr:colOff>
      <xdr:row>48</xdr:row>
      <xdr:rowOff>9525</xdr:rowOff>
    </xdr:from>
    <xdr:to>
      <xdr:col>16</xdr:col>
      <xdr:colOff>390525</xdr:colOff>
      <xdr:row>51</xdr:row>
      <xdr:rowOff>152400</xdr:rowOff>
    </xdr:to>
    <xdr:sp macro="" textlink="">
      <xdr:nvSpPr>
        <xdr:cNvPr id="8197" name="AutoShape 27"/>
        <xdr:cNvSpPr>
          <a:spLocks/>
        </xdr:cNvSpPr>
      </xdr:nvSpPr>
      <xdr:spPr bwMode="auto">
        <a:xfrm>
          <a:off x="9534525" y="9848850"/>
          <a:ext cx="228600" cy="714375"/>
        </a:xfrm>
        <a:prstGeom prst="rightBrace">
          <a:avLst>
            <a:gd name="adj1" fmla="val 0"/>
            <a:gd name="adj2" fmla="val 50000"/>
          </a:avLst>
        </a:prstGeom>
        <a:noFill/>
        <a:ln w="9360">
          <a:solidFill>
            <a:srgbClr val="000000"/>
          </a:solidFill>
          <a:miter lim="800000"/>
          <a:headEnd/>
          <a:tailEnd/>
        </a:ln>
      </xdr:spPr>
    </xdr:sp>
    <xdr:clientData/>
  </xdr:twoCellAnchor>
  <xdr:twoCellAnchor>
    <xdr:from>
      <xdr:col>22</xdr:col>
      <xdr:colOff>285750</xdr:colOff>
      <xdr:row>48</xdr:row>
      <xdr:rowOff>152400</xdr:rowOff>
    </xdr:from>
    <xdr:to>
      <xdr:col>22</xdr:col>
      <xdr:colOff>714375</xdr:colOff>
      <xdr:row>51</xdr:row>
      <xdr:rowOff>19050</xdr:rowOff>
    </xdr:to>
    <xdr:sp macro="" textlink="" fLocksText="0">
      <xdr:nvSpPr>
        <xdr:cNvPr id="7" name="Rectangle 11"/>
        <xdr:cNvSpPr>
          <a:spLocks noChangeArrowheads="1"/>
        </xdr:cNvSpPr>
      </xdr:nvSpPr>
      <xdr:spPr bwMode="auto">
        <a:xfrm>
          <a:off x="13344525" y="8067675"/>
          <a:ext cx="400050" cy="3048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ctr" upright="1"/>
        <a:lstStyle/>
        <a:p>
          <a:pPr algn="ctr" rtl="0">
            <a:defRPr sz="1000"/>
          </a:pPr>
          <a:r>
            <a:rPr lang="ja-JP" altLang="en-US" sz="1000" b="0" i="0" u="none" strike="noStrike" baseline="0">
              <a:solidFill>
                <a:srgbClr val="000000"/>
              </a:solidFill>
              <a:latin typeface="ＭＳ 明朝"/>
              <a:ea typeface="ＭＳ 明朝"/>
            </a:rPr>
            <a:t>人口減少</a:t>
          </a:r>
        </a:p>
        <a:p>
          <a:pPr algn="ctr" rtl="0">
            <a:defRPr sz="1000"/>
          </a:pPr>
          <a:endParaRPr lang="ja-JP" altLang="en-US" sz="1000" b="0" i="0" u="none" strike="noStrike" baseline="0">
            <a:solidFill>
              <a:srgbClr val="000000"/>
            </a:solidFill>
            <a:latin typeface="ＭＳ 明朝"/>
            <a:ea typeface="ＭＳ 明朝"/>
          </a:endParaRPr>
        </a:p>
      </xdr:txBody>
    </xdr:sp>
    <xdr:clientData/>
  </xdr:twoCellAnchor>
  <xdr:twoCellAnchor>
    <xdr:from>
      <xdr:col>16</xdr:col>
      <xdr:colOff>438150</xdr:colOff>
      <xdr:row>48</xdr:row>
      <xdr:rowOff>142875</xdr:rowOff>
    </xdr:from>
    <xdr:to>
      <xdr:col>17</xdr:col>
      <xdr:colOff>104775</xdr:colOff>
      <xdr:row>50</xdr:row>
      <xdr:rowOff>180975</xdr:rowOff>
    </xdr:to>
    <xdr:sp macro="" textlink="" fLocksText="0">
      <xdr:nvSpPr>
        <xdr:cNvPr id="8" name="Rectangle 12"/>
        <xdr:cNvSpPr>
          <a:spLocks noChangeArrowheads="1"/>
        </xdr:cNvSpPr>
      </xdr:nvSpPr>
      <xdr:spPr bwMode="auto">
        <a:xfrm>
          <a:off x="9810750" y="8067675"/>
          <a:ext cx="390525" cy="28575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ctr"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1</xdr:col>
      <xdr:colOff>190501</xdr:colOff>
      <xdr:row>48</xdr:row>
      <xdr:rowOff>66676</xdr:rowOff>
    </xdr:from>
    <xdr:to>
      <xdr:col>1</xdr:col>
      <xdr:colOff>304801</xdr:colOff>
      <xdr:row>52</xdr:row>
      <xdr:rowOff>142876</xdr:rowOff>
    </xdr:to>
    <xdr:sp macro="" textlink="">
      <xdr:nvSpPr>
        <xdr:cNvPr id="2" name="左中かっこ 1"/>
        <xdr:cNvSpPr/>
      </xdr:nvSpPr>
      <xdr:spPr bwMode="auto">
        <a:xfrm>
          <a:off x="285751" y="9744076"/>
          <a:ext cx="114300" cy="838200"/>
        </a:xfrm>
        <a:prstGeom prst="leftBrace">
          <a:avLst/>
        </a:prstGeom>
        <a:solidFill>
          <a:srgbClr val="FFFFFF"/>
        </a:solidFill>
        <a:ln w="1270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133350</xdr:colOff>
      <xdr:row>57</xdr:row>
      <xdr:rowOff>104775</xdr:rowOff>
    </xdr:from>
    <xdr:to>
      <xdr:col>23</xdr:col>
      <xdr:colOff>257175</xdr:colOff>
      <xdr:row>58</xdr:row>
      <xdr:rowOff>123825</xdr:rowOff>
    </xdr:to>
    <xdr:sp macro="" textlink="">
      <xdr:nvSpPr>
        <xdr:cNvPr id="9217" name="Text Box 2"/>
        <xdr:cNvSpPr txBox="1">
          <a:spLocks noChangeArrowheads="1"/>
        </xdr:cNvSpPr>
      </xdr:nvSpPr>
      <xdr:spPr bwMode="auto">
        <a:xfrm>
          <a:off x="12439650" y="11630025"/>
          <a:ext cx="1847850" cy="209550"/>
        </a:xfrm>
        <a:prstGeom prst="rect">
          <a:avLst/>
        </a:prstGeom>
        <a:noFill/>
        <a:ln w="9525">
          <a:noFill/>
          <a:round/>
          <a:headEnd/>
          <a:tailEnd/>
        </a:ln>
      </xdr:spPr>
    </xdr:sp>
    <xdr:clientData/>
  </xdr:twoCellAnchor>
  <xdr:twoCellAnchor>
    <xdr:from>
      <xdr:col>16</xdr:col>
      <xdr:colOff>104775</xdr:colOff>
      <xdr:row>48</xdr:row>
      <xdr:rowOff>19050</xdr:rowOff>
    </xdr:from>
    <xdr:to>
      <xdr:col>16</xdr:col>
      <xdr:colOff>333375</xdr:colOff>
      <xdr:row>51</xdr:row>
      <xdr:rowOff>161925</xdr:rowOff>
    </xdr:to>
    <xdr:sp macro="" textlink="">
      <xdr:nvSpPr>
        <xdr:cNvPr id="25" name="AutoShape 27"/>
        <xdr:cNvSpPr>
          <a:spLocks/>
        </xdr:cNvSpPr>
      </xdr:nvSpPr>
      <xdr:spPr bwMode="auto">
        <a:xfrm>
          <a:off x="9477375" y="9829800"/>
          <a:ext cx="228600" cy="714375"/>
        </a:xfrm>
        <a:prstGeom prst="rightBrace">
          <a:avLst>
            <a:gd name="adj1" fmla="val 0"/>
            <a:gd name="adj2" fmla="val 50000"/>
          </a:avLst>
        </a:prstGeom>
        <a:noFill/>
        <a:ln w="9360">
          <a:solidFill>
            <a:srgbClr val="000000"/>
          </a:solidFill>
          <a:miter lim="800000"/>
          <a:headEnd/>
          <a:tailEnd/>
        </a:ln>
      </xdr:spPr>
    </xdr:sp>
    <xdr:clientData/>
  </xdr:twoCellAnchor>
  <xdr:twoCellAnchor>
    <xdr:from>
      <xdr:col>21</xdr:col>
      <xdr:colOff>723900</xdr:colOff>
      <xdr:row>48</xdr:row>
      <xdr:rowOff>19050</xdr:rowOff>
    </xdr:from>
    <xdr:to>
      <xdr:col>22</xdr:col>
      <xdr:colOff>200025</xdr:colOff>
      <xdr:row>51</xdr:row>
      <xdr:rowOff>161925</xdr:rowOff>
    </xdr:to>
    <xdr:sp macro="" textlink="">
      <xdr:nvSpPr>
        <xdr:cNvPr id="96" name="AutoShape 26"/>
        <xdr:cNvSpPr>
          <a:spLocks/>
        </xdr:cNvSpPr>
      </xdr:nvSpPr>
      <xdr:spPr bwMode="auto">
        <a:xfrm>
          <a:off x="13030200" y="9829800"/>
          <a:ext cx="228600" cy="714375"/>
        </a:xfrm>
        <a:prstGeom prst="rightBrace">
          <a:avLst>
            <a:gd name="adj1" fmla="val 0"/>
            <a:gd name="adj2" fmla="val 50000"/>
          </a:avLst>
        </a:prstGeom>
        <a:noFill/>
        <a:ln w="9360">
          <a:solidFill>
            <a:srgbClr val="000000"/>
          </a:solidFill>
          <a:miter lim="800000"/>
          <a:headEnd/>
          <a:tailEnd/>
        </a:ln>
      </xdr:spPr>
      <xdr:txBody>
        <a:bodyPr/>
        <a:lstStyle/>
        <a:p>
          <a:endParaRPr lang="ja-JP" altLang="en-US"/>
        </a:p>
      </xdr:txBody>
    </xdr:sp>
    <xdr:clientData/>
  </xdr:twoCellAnchor>
  <xdr:twoCellAnchor>
    <xdr:from>
      <xdr:col>20</xdr:col>
      <xdr:colOff>552450</xdr:colOff>
      <xdr:row>57</xdr:row>
      <xdr:rowOff>19050</xdr:rowOff>
    </xdr:from>
    <xdr:to>
      <xdr:col>22</xdr:col>
      <xdr:colOff>895350</xdr:colOff>
      <xdr:row>58</xdr:row>
      <xdr:rowOff>38100</xdr:rowOff>
    </xdr:to>
    <xdr:sp macro="" textlink="">
      <xdr:nvSpPr>
        <xdr:cNvPr id="34" name="Text Box 2"/>
        <xdr:cNvSpPr txBox="1">
          <a:spLocks noChangeArrowheads="1"/>
        </xdr:cNvSpPr>
      </xdr:nvSpPr>
      <xdr:spPr bwMode="auto">
        <a:xfrm>
          <a:off x="12106275" y="11544300"/>
          <a:ext cx="1847850" cy="209550"/>
        </a:xfrm>
        <a:prstGeom prst="rect">
          <a:avLst/>
        </a:prstGeom>
        <a:noFill/>
        <a:ln w="9525">
          <a:noFill/>
          <a:round/>
          <a:headEnd/>
          <a:tailEnd/>
        </a:ln>
      </xdr:spPr>
    </xdr:sp>
    <xdr:clientData/>
  </xdr:twoCellAnchor>
  <xdr:twoCellAnchor>
    <xdr:from>
      <xdr:col>22</xdr:col>
      <xdr:colOff>247650</xdr:colOff>
      <xdr:row>48</xdr:row>
      <xdr:rowOff>171450</xdr:rowOff>
    </xdr:from>
    <xdr:to>
      <xdr:col>22</xdr:col>
      <xdr:colOff>676275</xdr:colOff>
      <xdr:row>51</xdr:row>
      <xdr:rowOff>38100</xdr:rowOff>
    </xdr:to>
    <xdr:sp macro="" textlink="" fLocksText="0">
      <xdr:nvSpPr>
        <xdr:cNvPr id="38" name="Rectangle 11"/>
        <xdr:cNvSpPr>
          <a:spLocks noChangeArrowheads="1"/>
        </xdr:cNvSpPr>
      </xdr:nvSpPr>
      <xdr:spPr bwMode="auto">
        <a:xfrm>
          <a:off x="13306425" y="9982200"/>
          <a:ext cx="428625" cy="43815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ctr" upright="1"/>
        <a:lstStyle/>
        <a:p>
          <a:pPr algn="ctr" rtl="0">
            <a:defRPr sz="1000"/>
          </a:pPr>
          <a:r>
            <a:rPr lang="ja-JP" altLang="en-US" sz="1000" b="0" i="0" u="none" strike="noStrike" baseline="0">
              <a:solidFill>
                <a:srgbClr val="000000"/>
              </a:solidFill>
              <a:latin typeface="ＭＳ 明朝"/>
              <a:ea typeface="ＭＳ 明朝"/>
            </a:rPr>
            <a:t>人口減少</a:t>
          </a:r>
        </a:p>
        <a:p>
          <a:pPr algn="ctr" rtl="0">
            <a:defRPr sz="1000"/>
          </a:pPr>
          <a:endParaRPr lang="ja-JP" altLang="en-US" sz="1000" b="0" i="0" u="none" strike="noStrike" baseline="0">
            <a:solidFill>
              <a:srgbClr val="000000"/>
            </a:solidFill>
            <a:latin typeface="ＭＳ 明朝"/>
            <a:ea typeface="ＭＳ 明朝"/>
          </a:endParaRPr>
        </a:p>
      </xdr:txBody>
    </xdr:sp>
    <xdr:clientData/>
  </xdr:twoCellAnchor>
  <xdr:twoCellAnchor>
    <xdr:from>
      <xdr:col>16</xdr:col>
      <xdr:colOff>381000</xdr:colOff>
      <xdr:row>48</xdr:row>
      <xdr:rowOff>142875</xdr:rowOff>
    </xdr:from>
    <xdr:to>
      <xdr:col>17</xdr:col>
      <xdr:colOff>47625</xdr:colOff>
      <xdr:row>50</xdr:row>
      <xdr:rowOff>180975</xdr:rowOff>
    </xdr:to>
    <xdr:sp macro="" textlink="" fLocksText="0">
      <xdr:nvSpPr>
        <xdr:cNvPr id="42" name="Rectangle 12"/>
        <xdr:cNvSpPr>
          <a:spLocks noChangeArrowheads="1"/>
        </xdr:cNvSpPr>
      </xdr:nvSpPr>
      <xdr:spPr bwMode="auto">
        <a:xfrm>
          <a:off x="9753600" y="9953625"/>
          <a:ext cx="390525" cy="4191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ctr"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1</xdr:col>
      <xdr:colOff>190501</xdr:colOff>
      <xdr:row>48</xdr:row>
      <xdr:rowOff>66676</xdr:rowOff>
    </xdr:from>
    <xdr:to>
      <xdr:col>1</xdr:col>
      <xdr:colOff>304801</xdr:colOff>
      <xdr:row>52</xdr:row>
      <xdr:rowOff>142876</xdr:rowOff>
    </xdr:to>
    <xdr:sp macro="" textlink="">
      <xdr:nvSpPr>
        <xdr:cNvPr id="44" name="左中かっこ 43"/>
        <xdr:cNvSpPr/>
      </xdr:nvSpPr>
      <xdr:spPr bwMode="auto">
        <a:xfrm>
          <a:off x="285751" y="9744076"/>
          <a:ext cx="114300" cy="838200"/>
        </a:xfrm>
        <a:prstGeom prst="leftBrace">
          <a:avLst/>
        </a:prstGeom>
        <a:solidFill>
          <a:srgbClr val="FFFFFF"/>
        </a:solidFill>
        <a:ln w="1270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114300</xdr:colOff>
      <xdr:row>13</xdr:row>
      <xdr:rowOff>104775</xdr:rowOff>
    </xdr:from>
    <xdr:to>
      <xdr:col>16</xdr:col>
      <xdr:colOff>514350</xdr:colOff>
      <xdr:row>13</xdr:row>
      <xdr:rowOff>104775</xdr:rowOff>
    </xdr:to>
    <xdr:sp macro="" textlink="">
      <xdr:nvSpPr>
        <xdr:cNvPr id="10241" name="Line 2"/>
        <xdr:cNvSpPr>
          <a:spLocks noChangeShapeType="1"/>
        </xdr:cNvSpPr>
      </xdr:nvSpPr>
      <xdr:spPr bwMode="auto">
        <a:xfrm>
          <a:off x="8181975" y="3248025"/>
          <a:ext cx="1009650" cy="0"/>
        </a:xfrm>
        <a:prstGeom prst="line">
          <a:avLst/>
        </a:prstGeom>
        <a:noFill/>
        <a:ln w="9360">
          <a:solidFill>
            <a:srgbClr val="000000"/>
          </a:solidFill>
          <a:miter lim="800000"/>
          <a:headEnd/>
          <a:tailEnd/>
        </a:ln>
      </xdr:spPr>
    </xdr:sp>
    <xdr:clientData/>
  </xdr:twoCellAnchor>
  <xdr:twoCellAnchor>
    <xdr:from>
      <xdr:col>15</xdr:col>
      <xdr:colOff>76200</xdr:colOff>
      <xdr:row>17</xdr:row>
      <xdr:rowOff>114300</xdr:rowOff>
    </xdr:from>
    <xdr:to>
      <xdr:col>18</xdr:col>
      <xdr:colOff>57150</xdr:colOff>
      <xdr:row>17</xdr:row>
      <xdr:rowOff>114300</xdr:rowOff>
    </xdr:to>
    <xdr:sp macro="" textlink="">
      <xdr:nvSpPr>
        <xdr:cNvPr id="10242" name="Line 3"/>
        <xdr:cNvSpPr>
          <a:spLocks noChangeShapeType="1"/>
        </xdr:cNvSpPr>
      </xdr:nvSpPr>
      <xdr:spPr bwMode="auto">
        <a:xfrm>
          <a:off x="8143875" y="4248150"/>
          <a:ext cx="1809750" cy="0"/>
        </a:xfrm>
        <a:prstGeom prst="line">
          <a:avLst/>
        </a:prstGeom>
        <a:noFill/>
        <a:ln w="9360">
          <a:solidFill>
            <a:srgbClr val="000000"/>
          </a:solidFill>
          <a:miter lim="800000"/>
          <a:headEnd/>
          <a:tailEnd/>
        </a:ln>
      </xdr:spPr>
    </xdr:sp>
    <xdr:clientData/>
  </xdr:twoCellAnchor>
  <xdr:twoCellAnchor>
    <xdr:from>
      <xdr:col>20</xdr:col>
      <xdr:colOff>476250</xdr:colOff>
      <xdr:row>13</xdr:row>
      <xdr:rowOff>114300</xdr:rowOff>
    </xdr:from>
    <xdr:to>
      <xdr:col>22</xdr:col>
      <xdr:colOff>133350</xdr:colOff>
      <xdr:row>13</xdr:row>
      <xdr:rowOff>114300</xdr:rowOff>
    </xdr:to>
    <xdr:sp macro="" textlink="">
      <xdr:nvSpPr>
        <xdr:cNvPr id="10243" name="Line 4"/>
        <xdr:cNvSpPr>
          <a:spLocks noChangeShapeType="1"/>
        </xdr:cNvSpPr>
      </xdr:nvSpPr>
      <xdr:spPr bwMode="auto">
        <a:xfrm>
          <a:off x="11591925" y="3257550"/>
          <a:ext cx="876300" cy="0"/>
        </a:xfrm>
        <a:prstGeom prst="line">
          <a:avLst/>
        </a:prstGeom>
        <a:noFill/>
        <a:ln w="9360">
          <a:solidFill>
            <a:srgbClr val="000000"/>
          </a:solidFill>
          <a:miter lim="800000"/>
          <a:headEnd/>
          <a:tailEnd/>
        </a:ln>
      </xdr:spPr>
    </xdr:sp>
    <xdr:clientData/>
  </xdr:twoCellAnchor>
  <xdr:twoCellAnchor>
    <xdr:from>
      <xdr:col>20</xdr:col>
      <xdr:colOff>361950</xdr:colOff>
      <xdr:row>17</xdr:row>
      <xdr:rowOff>114300</xdr:rowOff>
    </xdr:from>
    <xdr:to>
      <xdr:col>22</xdr:col>
      <xdr:colOff>142875</xdr:colOff>
      <xdr:row>17</xdr:row>
      <xdr:rowOff>114300</xdr:rowOff>
    </xdr:to>
    <xdr:sp macro="" textlink="">
      <xdr:nvSpPr>
        <xdr:cNvPr id="10244" name="Line 5"/>
        <xdr:cNvSpPr>
          <a:spLocks noChangeShapeType="1"/>
        </xdr:cNvSpPr>
      </xdr:nvSpPr>
      <xdr:spPr bwMode="auto">
        <a:xfrm>
          <a:off x="11477625" y="4248150"/>
          <a:ext cx="1000125" cy="0"/>
        </a:xfrm>
        <a:prstGeom prst="line">
          <a:avLst/>
        </a:prstGeom>
        <a:noFill/>
        <a:ln w="9360">
          <a:solidFill>
            <a:srgbClr val="000000"/>
          </a:solidFill>
          <a:miter lim="800000"/>
          <a:headEnd/>
          <a:tailEnd/>
        </a:ln>
      </xdr:spPr>
    </xdr:sp>
    <xdr:clientData/>
  </xdr:twoCellAnchor>
  <xdr:twoCellAnchor>
    <xdr:from>
      <xdr:col>15</xdr:col>
      <xdr:colOff>114300</xdr:colOff>
      <xdr:row>13</xdr:row>
      <xdr:rowOff>104775</xdr:rowOff>
    </xdr:from>
    <xdr:to>
      <xdr:col>16</xdr:col>
      <xdr:colOff>514350</xdr:colOff>
      <xdr:row>13</xdr:row>
      <xdr:rowOff>104775</xdr:rowOff>
    </xdr:to>
    <xdr:sp macro="" textlink="">
      <xdr:nvSpPr>
        <xdr:cNvPr id="10245" name="Line 2"/>
        <xdr:cNvSpPr>
          <a:spLocks noChangeShapeType="1"/>
        </xdr:cNvSpPr>
      </xdr:nvSpPr>
      <xdr:spPr bwMode="auto">
        <a:xfrm>
          <a:off x="8181975" y="3248025"/>
          <a:ext cx="1009650" cy="0"/>
        </a:xfrm>
        <a:prstGeom prst="line">
          <a:avLst/>
        </a:prstGeom>
        <a:noFill/>
        <a:ln w="9360">
          <a:solidFill>
            <a:srgbClr val="000000"/>
          </a:solidFill>
          <a:miter lim="800000"/>
          <a:headEnd/>
          <a:tailEnd/>
        </a:ln>
      </xdr:spPr>
    </xdr:sp>
    <xdr:clientData/>
  </xdr:twoCellAnchor>
  <xdr:twoCellAnchor>
    <xdr:from>
      <xdr:col>15</xdr:col>
      <xdr:colOff>76200</xdr:colOff>
      <xdr:row>17</xdr:row>
      <xdr:rowOff>114300</xdr:rowOff>
    </xdr:from>
    <xdr:to>
      <xdr:col>18</xdr:col>
      <xdr:colOff>57150</xdr:colOff>
      <xdr:row>17</xdr:row>
      <xdr:rowOff>114300</xdr:rowOff>
    </xdr:to>
    <xdr:sp macro="" textlink="">
      <xdr:nvSpPr>
        <xdr:cNvPr id="10246" name="Line 3"/>
        <xdr:cNvSpPr>
          <a:spLocks noChangeShapeType="1"/>
        </xdr:cNvSpPr>
      </xdr:nvSpPr>
      <xdr:spPr bwMode="auto">
        <a:xfrm>
          <a:off x="8143875" y="4248150"/>
          <a:ext cx="1809750" cy="0"/>
        </a:xfrm>
        <a:prstGeom prst="line">
          <a:avLst/>
        </a:prstGeom>
        <a:noFill/>
        <a:ln w="9360">
          <a:solidFill>
            <a:srgbClr val="000000"/>
          </a:solidFill>
          <a:miter lim="800000"/>
          <a:headEnd/>
          <a:tailEnd/>
        </a:ln>
      </xdr:spPr>
    </xdr:sp>
    <xdr:clientData/>
  </xdr:twoCellAnchor>
  <xdr:twoCellAnchor>
    <xdr:from>
      <xdr:col>20</xdr:col>
      <xdr:colOff>476250</xdr:colOff>
      <xdr:row>13</xdr:row>
      <xdr:rowOff>114300</xdr:rowOff>
    </xdr:from>
    <xdr:to>
      <xdr:col>22</xdr:col>
      <xdr:colOff>133350</xdr:colOff>
      <xdr:row>13</xdr:row>
      <xdr:rowOff>114300</xdr:rowOff>
    </xdr:to>
    <xdr:sp macro="" textlink="">
      <xdr:nvSpPr>
        <xdr:cNvPr id="10247" name="Line 4"/>
        <xdr:cNvSpPr>
          <a:spLocks noChangeShapeType="1"/>
        </xdr:cNvSpPr>
      </xdr:nvSpPr>
      <xdr:spPr bwMode="auto">
        <a:xfrm>
          <a:off x="11591925" y="3257550"/>
          <a:ext cx="876300" cy="0"/>
        </a:xfrm>
        <a:prstGeom prst="line">
          <a:avLst/>
        </a:prstGeom>
        <a:noFill/>
        <a:ln w="9360">
          <a:solidFill>
            <a:srgbClr val="000000"/>
          </a:solidFill>
          <a:miter lim="800000"/>
          <a:headEnd/>
          <a:tailEnd/>
        </a:ln>
      </xdr:spPr>
    </xdr:sp>
    <xdr:clientData/>
  </xdr:twoCellAnchor>
  <xdr:twoCellAnchor>
    <xdr:from>
      <xdr:col>20</xdr:col>
      <xdr:colOff>361950</xdr:colOff>
      <xdr:row>17</xdr:row>
      <xdr:rowOff>114300</xdr:rowOff>
    </xdr:from>
    <xdr:to>
      <xdr:col>22</xdr:col>
      <xdr:colOff>142875</xdr:colOff>
      <xdr:row>17</xdr:row>
      <xdr:rowOff>114300</xdr:rowOff>
    </xdr:to>
    <xdr:sp macro="" textlink="">
      <xdr:nvSpPr>
        <xdr:cNvPr id="10248" name="Line 5"/>
        <xdr:cNvSpPr>
          <a:spLocks noChangeShapeType="1"/>
        </xdr:cNvSpPr>
      </xdr:nvSpPr>
      <xdr:spPr bwMode="auto">
        <a:xfrm>
          <a:off x="11477625" y="4248150"/>
          <a:ext cx="1000125" cy="0"/>
        </a:xfrm>
        <a:prstGeom prst="line">
          <a:avLst/>
        </a:prstGeom>
        <a:noFill/>
        <a:ln w="9360">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114300</xdr:colOff>
      <xdr:row>13</xdr:row>
      <xdr:rowOff>104775</xdr:rowOff>
    </xdr:from>
    <xdr:to>
      <xdr:col>16</xdr:col>
      <xdr:colOff>514350</xdr:colOff>
      <xdr:row>13</xdr:row>
      <xdr:rowOff>104775</xdr:rowOff>
    </xdr:to>
    <xdr:sp macro="" textlink="">
      <xdr:nvSpPr>
        <xdr:cNvPr id="11265" name="Line 2"/>
        <xdr:cNvSpPr>
          <a:spLocks noChangeShapeType="1"/>
        </xdr:cNvSpPr>
      </xdr:nvSpPr>
      <xdr:spPr bwMode="auto">
        <a:xfrm>
          <a:off x="8220075" y="3248025"/>
          <a:ext cx="1028700" cy="0"/>
        </a:xfrm>
        <a:prstGeom prst="line">
          <a:avLst/>
        </a:prstGeom>
        <a:noFill/>
        <a:ln w="9360">
          <a:solidFill>
            <a:srgbClr val="000000"/>
          </a:solidFill>
          <a:miter lim="800000"/>
          <a:headEnd/>
          <a:tailEnd/>
        </a:ln>
      </xdr:spPr>
    </xdr:sp>
    <xdr:clientData/>
  </xdr:twoCellAnchor>
  <xdr:twoCellAnchor>
    <xdr:from>
      <xdr:col>15</xdr:col>
      <xdr:colOff>76200</xdr:colOff>
      <xdr:row>17</xdr:row>
      <xdr:rowOff>114300</xdr:rowOff>
    </xdr:from>
    <xdr:to>
      <xdr:col>18</xdr:col>
      <xdr:colOff>57150</xdr:colOff>
      <xdr:row>17</xdr:row>
      <xdr:rowOff>114300</xdr:rowOff>
    </xdr:to>
    <xdr:sp macro="" textlink="">
      <xdr:nvSpPr>
        <xdr:cNvPr id="11266" name="Line 3"/>
        <xdr:cNvSpPr>
          <a:spLocks noChangeShapeType="1"/>
        </xdr:cNvSpPr>
      </xdr:nvSpPr>
      <xdr:spPr bwMode="auto">
        <a:xfrm>
          <a:off x="8181975" y="4248150"/>
          <a:ext cx="1866900" cy="0"/>
        </a:xfrm>
        <a:prstGeom prst="line">
          <a:avLst/>
        </a:prstGeom>
        <a:noFill/>
        <a:ln w="9360">
          <a:solidFill>
            <a:srgbClr val="000000"/>
          </a:solidFill>
          <a:miter lim="800000"/>
          <a:headEnd/>
          <a:tailEnd/>
        </a:ln>
      </xdr:spPr>
    </xdr:sp>
    <xdr:clientData/>
  </xdr:twoCellAnchor>
  <xdr:twoCellAnchor>
    <xdr:from>
      <xdr:col>20</xdr:col>
      <xdr:colOff>476250</xdr:colOff>
      <xdr:row>13</xdr:row>
      <xdr:rowOff>114300</xdr:rowOff>
    </xdr:from>
    <xdr:to>
      <xdr:col>22</xdr:col>
      <xdr:colOff>133350</xdr:colOff>
      <xdr:row>13</xdr:row>
      <xdr:rowOff>114300</xdr:rowOff>
    </xdr:to>
    <xdr:sp macro="" textlink="">
      <xdr:nvSpPr>
        <xdr:cNvPr id="11267" name="Line 4"/>
        <xdr:cNvSpPr>
          <a:spLocks noChangeShapeType="1"/>
        </xdr:cNvSpPr>
      </xdr:nvSpPr>
      <xdr:spPr bwMode="auto">
        <a:xfrm>
          <a:off x="11725275" y="3257550"/>
          <a:ext cx="914400" cy="0"/>
        </a:xfrm>
        <a:prstGeom prst="line">
          <a:avLst/>
        </a:prstGeom>
        <a:noFill/>
        <a:ln w="9360">
          <a:solidFill>
            <a:srgbClr val="000000"/>
          </a:solidFill>
          <a:miter lim="800000"/>
          <a:headEnd/>
          <a:tailEnd/>
        </a:ln>
      </xdr:spPr>
    </xdr:sp>
    <xdr:clientData/>
  </xdr:twoCellAnchor>
  <xdr:twoCellAnchor>
    <xdr:from>
      <xdr:col>20</xdr:col>
      <xdr:colOff>361950</xdr:colOff>
      <xdr:row>17</xdr:row>
      <xdr:rowOff>114300</xdr:rowOff>
    </xdr:from>
    <xdr:to>
      <xdr:col>22</xdr:col>
      <xdr:colOff>142875</xdr:colOff>
      <xdr:row>17</xdr:row>
      <xdr:rowOff>114300</xdr:rowOff>
    </xdr:to>
    <xdr:sp macro="" textlink="">
      <xdr:nvSpPr>
        <xdr:cNvPr id="11268" name="Line 5"/>
        <xdr:cNvSpPr>
          <a:spLocks noChangeShapeType="1"/>
        </xdr:cNvSpPr>
      </xdr:nvSpPr>
      <xdr:spPr bwMode="auto">
        <a:xfrm>
          <a:off x="11610975" y="4248150"/>
          <a:ext cx="1038225" cy="0"/>
        </a:xfrm>
        <a:prstGeom prst="line">
          <a:avLst/>
        </a:prstGeom>
        <a:noFill/>
        <a:ln w="9360">
          <a:solidFill>
            <a:srgbClr val="000000"/>
          </a:solidFill>
          <a:miter lim="800000"/>
          <a:headEnd/>
          <a:tailEnd/>
        </a:ln>
      </xdr:spPr>
    </xdr:sp>
    <xdr:clientData/>
  </xdr:twoCellAnchor>
  <xdr:twoCellAnchor>
    <xdr:from>
      <xdr:col>15</xdr:col>
      <xdr:colOff>114300</xdr:colOff>
      <xdr:row>13</xdr:row>
      <xdr:rowOff>104775</xdr:rowOff>
    </xdr:from>
    <xdr:to>
      <xdr:col>16</xdr:col>
      <xdr:colOff>514350</xdr:colOff>
      <xdr:row>13</xdr:row>
      <xdr:rowOff>104775</xdr:rowOff>
    </xdr:to>
    <xdr:sp macro="" textlink="">
      <xdr:nvSpPr>
        <xdr:cNvPr id="14" name="Line 2"/>
        <xdr:cNvSpPr>
          <a:spLocks noChangeShapeType="1"/>
        </xdr:cNvSpPr>
      </xdr:nvSpPr>
      <xdr:spPr bwMode="auto">
        <a:xfrm>
          <a:off x="8181975" y="3248025"/>
          <a:ext cx="1009650" cy="0"/>
        </a:xfrm>
        <a:prstGeom prst="line">
          <a:avLst/>
        </a:prstGeom>
        <a:noFill/>
        <a:ln w="9360">
          <a:solidFill>
            <a:srgbClr val="000000"/>
          </a:solidFill>
          <a:miter lim="800000"/>
          <a:headEnd/>
          <a:tailEnd/>
        </a:ln>
      </xdr:spPr>
    </xdr:sp>
    <xdr:clientData/>
  </xdr:twoCellAnchor>
  <xdr:twoCellAnchor>
    <xdr:from>
      <xdr:col>15</xdr:col>
      <xdr:colOff>76200</xdr:colOff>
      <xdr:row>17</xdr:row>
      <xdr:rowOff>114300</xdr:rowOff>
    </xdr:from>
    <xdr:to>
      <xdr:col>18</xdr:col>
      <xdr:colOff>57150</xdr:colOff>
      <xdr:row>17</xdr:row>
      <xdr:rowOff>114300</xdr:rowOff>
    </xdr:to>
    <xdr:sp macro="" textlink="">
      <xdr:nvSpPr>
        <xdr:cNvPr id="15" name="Line 3"/>
        <xdr:cNvSpPr>
          <a:spLocks noChangeShapeType="1"/>
        </xdr:cNvSpPr>
      </xdr:nvSpPr>
      <xdr:spPr bwMode="auto">
        <a:xfrm>
          <a:off x="8143875" y="4248150"/>
          <a:ext cx="1809750" cy="0"/>
        </a:xfrm>
        <a:prstGeom prst="line">
          <a:avLst/>
        </a:prstGeom>
        <a:noFill/>
        <a:ln w="9360">
          <a:solidFill>
            <a:srgbClr val="000000"/>
          </a:solidFill>
          <a:miter lim="800000"/>
          <a:headEnd/>
          <a:tailEnd/>
        </a:ln>
      </xdr:spPr>
    </xdr:sp>
    <xdr:clientData/>
  </xdr:twoCellAnchor>
  <xdr:twoCellAnchor>
    <xdr:from>
      <xdr:col>20</xdr:col>
      <xdr:colOff>476250</xdr:colOff>
      <xdr:row>13</xdr:row>
      <xdr:rowOff>114300</xdr:rowOff>
    </xdr:from>
    <xdr:to>
      <xdr:col>22</xdr:col>
      <xdr:colOff>133350</xdr:colOff>
      <xdr:row>13</xdr:row>
      <xdr:rowOff>114300</xdr:rowOff>
    </xdr:to>
    <xdr:sp macro="" textlink="">
      <xdr:nvSpPr>
        <xdr:cNvPr id="16" name="Line 4"/>
        <xdr:cNvSpPr>
          <a:spLocks noChangeShapeType="1"/>
        </xdr:cNvSpPr>
      </xdr:nvSpPr>
      <xdr:spPr bwMode="auto">
        <a:xfrm>
          <a:off x="11591925" y="3257550"/>
          <a:ext cx="876300" cy="0"/>
        </a:xfrm>
        <a:prstGeom prst="line">
          <a:avLst/>
        </a:prstGeom>
        <a:noFill/>
        <a:ln w="9360">
          <a:solidFill>
            <a:srgbClr val="000000"/>
          </a:solidFill>
          <a:miter lim="800000"/>
          <a:headEnd/>
          <a:tailEnd/>
        </a:ln>
      </xdr:spPr>
    </xdr:sp>
    <xdr:clientData/>
  </xdr:twoCellAnchor>
  <xdr:twoCellAnchor>
    <xdr:from>
      <xdr:col>20</xdr:col>
      <xdr:colOff>361950</xdr:colOff>
      <xdr:row>17</xdr:row>
      <xdr:rowOff>114300</xdr:rowOff>
    </xdr:from>
    <xdr:to>
      <xdr:col>22</xdr:col>
      <xdr:colOff>142875</xdr:colOff>
      <xdr:row>17</xdr:row>
      <xdr:rowOff>114300</xdr:rowOff>
    </xdr:to>
    <xdr:sp macro="" textlink="">
      <xdr:nvSpPr>
        <xdr:cNvPr id="17" name="Line 5"/>
        <xdr:cNvSpPr>
          <a:spLocks noChangeShapeType="1"/>
        </xdr:cNvSpPr>
      </xdr:nvSpPr>
      <xdr:spPr bwMode="auto">
        <a:xfrm>
          <a:off x="11477625" y="4248150"/>
          <a:ext cx="1000125" cy="0"/>
        </a:xfrm>
        <a:prstGeom prst="line">
          <a:avLst/>
        </a:prstGeom>
        <a:noFill/>
        <a:ln w="9360">
          <a:solidFill>
            <a:srgbClr val="000000"/>
          </a:solidFill>
          <a:miter lim="800000"/>
          <a:headEnd/>
          <a:tailEnd/>
        </a:ln>
      </xdr:spPr>
    </xdr:sp>
    <xdr:clientData/>
  </xdr:twoCellAnchor>
  <xdr:twoCellAnchor>
    <xdr:from>
      <xdr:col>15</xdr:col>
      <xdr:colOff>114300</xdr:colOff>
      <xdr:row>13</xdr:row>
      <xdr:rowOff>104775</xdr:rowOff>
    </xdr:from>
    <xdr:to>
      <xdr:col>16</xdr:col>
      <xdr:colOff>514350</xdr:colOff>
      <xdr:row>13</xdr:row>
      <xdr:rowOff>104775</xdr:rowOff>
    </xdr:to>
    <xdr:sp macro="" textlink="">
      <xdr:nvSpPr>
        <xdr:cNvPr id="18" name="Line 2"/>
        <xdr:cNvSpPr>
          <a:spLocks noChangeShapeType="1"/>
        </xdr:cNvSpPr>
      </xdr:nvSpPr>
      <xdr:spPr bwMode="auto">
        <a:xfrm>
          <a:off x="8181975" y="3248025"/>
          <a:ext cx="1009650" cy="0"/>
        </a:xfrm>
        <a:prstGeom prst="line">
          <a:avLst/>
        </a:prstGeom>
        <a:noFill/>
        <a:ln w="9360">
          <a:solidFill>
            <a:srgbClr val="000000"/>
          </a:solidFill>
          <a:miter lim="800000"/>
          <a:headEnd/>
          <a:tailEnd/>
        </a:ln>
      </xdr:spPr>
    </xdr:sp>
    <xdr:clientData/>
  </xdr:twoCellAnchor>
  <xdr:twoCellAnchor>
    <xdr:from>
      <xdr:col>15</xdr:col>
      <xdr:colOff>76200</xdr:colOff>
      <xdr:row>17</xdr:row>
      <xdr:rowOff>114300</xdr:rowOff>
    </xdr:from>
    <xdr:to>
      <xdr:col>18</xdr:col>
      <xdr:colOff>57150</xdr:colOff>
      <xdr:row>17</xdr:row>
      <xdr:rowOff>114300</xdr:rowOff>
    </xdr:to>
    <xdr:sp macro="" textlink="">
      <xdr:nvSpPr>
        <xdr:cNvPr id="19" name="Line 3"/>
        <xdr:cNvSpPr>
          <a:spLocks noChangeShapeType="1"/>
        </xdr:cNvSpPr>
      </xdr:nvSpPr>
      <xdr:spPr bwMode="auto">
        <a:xfrm>
          <a:off x="8143875" y="4248150"/>
          <a:ext cx="1809750" cy="0"/>
        </a:xfrm>
        <a:prstGeom prst="line">
          <a:avLst/>
        </a:prstGeom>
        <a:noFill/>
        <a:ln w="9360">
          <a:solidFill>
            <a:srgbClr val="000000"/>
          </a:solidFill>
          <a:miter lim="800000"/>
          <a:headEnd/>
          <a:tailEnd/>
        </a:ln>
      </xdr:spPr>
    </xdr:sp>
    <xdr:clientData/>
  </xdr:twoCellAnchor>
  <xdr:twoCellAnchor>
    <xdr:from>
      <xdr:col>20</xdr:col>
      <xdr:colOff>476250</xdr:colOff>
      <xdr:row>13</xdr:row>
      <xdr:rowOff>114300</xdr:rowOff>
    </xdr:from>
    <xdr:to>
      <xdr:col>22</xdr:col>
      <xdr:colOff>133350</xdr:colOff>
      <xdr:row>13</xdr:row>
      <xdr:rowOff>114300</xdr:rowOff>
    </xdr:to>
    <xdr:sp macro="" textlink="">
      <xdr:nvSpPr>
        <xdr:cNvPr id="20" name="Line 4"/>
        <xdr:cNvSpPr>
          <a:spLocks noChangeShapeType="1"/>
        </xdr:cNvSpPr>
      </xdr:nvSpPr>
      <xdr:spPr bwMode="auto">
        <a:xfrm>
          <a:off x="11591925" y="3257550"/>
          <a:ext cx="876300" cy="0"/>
        </a:xfrm>
        <a:prstGeom prst="line">
          <a:avLst/>
        </a:prstGeom>
        <a:noFill/>
        <a:ln w="9360">
          <a:solidFill>
            <a:srgbClr val="000000"/>
          </a:solidFill>
          <a:miter lim="800000"/>
          <a:headEnd/>
          <a:tailEnd/>
        </a:ln>
      </xdr:spPr>
    </xdr:sp>
    <xdr:clientData/>
  </xdr:twoCellAnchor>
  <xdr:twoCellAnchor>
    <xdr:from>
      <xdr:col>20</xdr:col>
      <xdr:colOff>361950</xdr:colOff>
      <xdr:row>17</xdr:row>
      <xdr:rowOff>114300</xdr:rowOff>
    </xdr:from>
    <xdr:to>
      <xdr:col>22</xdr:col>
      <xdr:colOff>142875</xdr:colOff>
      <xdr:row>17</xdr:row>
      <xdr:rowOff>114300</xdr:rowOff>
    </xdr:to>
    <xdr:sp macro="" textlink="">
      <xdr:nvSpPr>
        <xdr:cNvPr id="21" name="Line 5"/>
        <xdr:cNvSpPr>
          <a:spLocks noChangeShapeType="1"/>
        </xdr:cNvSpPr>
      </xdr:nvSpPr>
      <xdr:spPr bwMode="auto">
        <a:xfrm>
          <a:off x="11477625" y="4248150"/>
          <a:ext cx="1000125" cy="0"/>
        </a:xfrm>
        <a:prstGeom prst="line">
          <a:avLst/>
        </a:prstGeom>
        <a:noFill/>
        <a:ln w="9360">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28575</xdr:colOff>
      <xdr:row>7</xdr:row>
      <xdr:rowOff>133350</xdr:rowOff>
    </xdr:from>
    <xdr:ext cx="3617843" cy="4041085"/>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3</xdr:col>
      <xdr:colOff>66675</xdr:colOff>
      <xdr:row>40</xdr:row>
      <xdr:rowOff>95250</xdr:rowOff>
    </xdr:from>
    <xdr:ext cx="3259621" cy="3045101"/>
    <xdr:graphicFrame macro="">
      <xdr:nvGraphicFramePr>
        <xdr:cNvPr id="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0</xdr:col>
      <xdr:colOff>190500</xdr:colOff>
      <xdr:row>66</xdr:row>
      <xdr:rowOff>76200</xdr:rowOff>
    </xdr:from>
    <xdr:ext cx="6402457" cy="3882887"/>
    <xdr:graphicFrame macro="">
      <xdr:nvGraphicFramePr>
        <xdr:cNvPr id="4"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oneCellAnchor>
    <xdr:from>
      <xdr:col>0</xdr:col>
      <xdr:colOff>49695</xdr:colOff>
      <xdr:row>93</xdr:row>
      <xdr:rowOff>60464</xdr:rowOff>
    </xdr:from>
    <xdr:ext cx="6377609" cy="4610928"/>
    <xdr:graphicFrame macro="">
      <xdr:nvGraphicFramePr>
        <xdr:cNvPr id="5"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oneCellAnchor>
  <xdr:twoCellAnchor>
    <xdr:from>
      <xdr:col>0</xdr:col>
      <xdr:colOff>790575</xdr:colOff>
      <xdr:row>37</xdr:row>
      <xdr:rowOff>9525</xdr:rowOff>
    </xdr:from>
    <xdr:to>
      <xdr:col>2</xdr:col>
      <xdr:colOff>238125</xdr:colOff>
      <xdr:row>38</xdr:row>
      <xdr:rowOff>57150</xdr:rowOff>
    </xdr:to>
    <xdr:sp macro="" textlink="">
      <xdr:nvSpPr>
        <xdr:cNvPr id="6" name="Text Box 11"/>
        <xdr:cNvSpPr txBox="1">
          <a:spLocks noChangeArrowheads="1"/>
        </xdr:cNvSpPr>
      </xdr:nvSpPr>
      <xdr:spPr bwMode="auto">
        <a:xfrm>
          <a:off x="685800" y="6353175"/>
          <a:ext cx="923925" cy="21907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30</a:t>
          </a: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12</a:t>
          </a:r>
          <a:r>
            <a:rPr lang="ja-JP" altLang="en-US" sz="1000" b="0" i="0" u="none" strike="noStrike" baseline="0">
              <a:solidFill>
                <a:srgbClr val="000000"/>
              </a:solidFill>
              <a:latin typeface="ＭＳ Ｐゴシック"/>
              <a:ea typeface="ＭＳ Ｐゴシック"/>
            </a:rPr>
            <a:t>月末現在　　男</a:t>
          </a:r>
        </a:p>
      </xdr:txBody>
    </xdr:sp>
    <xdr:clientData/>
  </xdr:twoCellAnchor>
  <xdr:twoCellAnchor>
    <xdr:from>
      <xdr:col>3</xdr:col>
      <xdr:colOff>857250</xdr:colOff>
      <xdr:row>37</xdr:row>
      <xdr:rowOff>9525</xdr:rowOff>
    </xdr:from>
    <xdr:to>
      <xdr:col>5</xdr:col>
      <xdr:colOff>276225</xdr:colOff>
      <xdr:row>38</xdr:row>
      <xdr:rowOff>66675</xdr:rowOff>
    </xdr:to>
    <xdr:sp macro="" textlink="">
      <xdr:nvSpPr>
        <xdr:cNvPr id="7" name="Text Box 12"/>
        <xdr:cNvSpPr txBox="1">
          <a:spLocks noChangeArrowheads="1"/>
        </xdr:cNvSpPr>
      </xdr:nvSpPr>
      <xdr:spPr bwMode="auto">
        <a:xfrm>
          <a:off x="2743200" y="6353175"/>
          <a:ext cx="962025" cy="22860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30</a:t>
          </a: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12</a:t>
          </a:r>
          <a:r>
            <a:rPr lang="ja-JP" altLang="en-US" sz="1000" b="0" i="0" u="none" strike="noStrike" baseline="0">
              <a:solidFill>
                <a:srgbClr val="000000"/>
              </a:solidFill>
              <a:latin typeface="ＭＳ Ｐゴシック"/>
              <a:ea typeface="ＭＳ Ｐゴシック"/>
            </a:rPr>
            <a:t>月末現在　　女</a:t>
          </a:r>
        </a:p>
      </xdr:txBody>
    </xdr:sp>
    <xdr:clientData/>
  </xdr:twoCellAnchor>
  <xdr:oneCellAnchor>
    <xdr:from>
      <xdr:col>0</xdr:col>
      <xdr:colOff>314325</xdr:colOff>
      <xdr:row>125</xdr:row>
      <xdr:rowOff>123825</xdr:rowOff>
    </xdr:from>
    <xdr:ext cx="6620289" cy="4243595"/>
    <xdr:graphicFrame macro="">
      <xdr:nvGraphicFramePr>
        <xdr:cNvPr id="8"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oneCellAnchor>
  <xdr:twoCellAnchor>
    <xdr:from>
      <xdr:col>4</xdr:col>
      <xdr:colOff>161925</xdr:colOff>
      <xdr:row>6</xdr:row>
      <xdr:rowOff>9525</xdr:rowOff>
    </xdr:from>
    <xdr:to>
      <xdr:col>5</xdr:col>
      <xdr:colOff>390525</xdr:colOff>
      <xdr:row>7</xdr:row>
      <xdr:rowOff>19050</xdr:rowOff>
    </xdr:to>
    <xdr:sp macro="" textlink="">
      <xdr:nvSpPr>
        <xdr:cNvPr id="9" name="Text Box 19"/>
        <xdr:cNvSpPr txBox="1">
          <a:spLocks noChangeArrowheads="1"/>
        </xdr:cNvSpPr>
      </xdr:nvSpPr>
      <xdr:spPr bwMode="auto">
        <a:xfrm>
          <a:off x="2905125" y="1038225"/>
          <a:ext cx="914400" cy="180975"/>
        </a:xfrm>
        <a:prstGeom prst="rect">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　平成</a:t>
          </a:r>
          <a:r>
            <a:rPr lang="en-US" altLang="ja-JP" sz="1000" b="0" i="0" u="none" strike="noStrike" baseline="0">
              <a:solidFill>
                <a:srgbClr val="000000"/>
              </a:solidFill>
              <a:latin typeface="ＭＳ Ｐゴシック"/>
              <a:ea typeface="ＭＳ Ｐゴシック"/>
            </a:rPr>
            <a:t>30</a:t>
          </a: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12</a:t>
          </a:r>
          <a:r>
            <a:rPr lang="ja-JP" altLang="en-US" sz="1000" b="0" i="0" u="none" strike="noStrike" baseline="0">
              <a:solidFill>
                <a:srgbClr val="000000"/>
              </a:solidFill>
              <a:latin typeface="ＭＳ Ｐゴシック"/>
              <a:ea typeface="ＭＳ Ｐゴシック"/>
            </a:rPr>
            <a:t>月末現在</a:t>
          </a:r>
        </a:p>
      </xdr:txBody>
    </xdr:sp>
    <xdr:clientData/>
  </xdr:twoCellAnchor>
  <xdr:twoCellAnchor>
    <xdr:from>
      <xdr:col>12</xdr:col>
      <xdr:colOff>0</xdr:colOff>
      <xdr:row>191</xdr:row>
      <xdr:rowOff>0</xdr:rowOff>
    </xdr:from>
    <xdr:to>
      <xdr:col>12</xdr:col>
      <xdr:colOff>0</xdr:colOff>
      <xdr:row>191</xdr:row>
      <xdr:rowOff>0</xdr:rowOff>
    </xdr:to>
    <xdr:sp macro="" textlink="">
      <xdr:nvSpPr>
        <xdr:cNvPr id="10" name="Line 20"/>
        <xdr:cNvSpPr>
          <a:spLocks noChangeShapeType="1"/>
        </xdr:cNvSpPr>
      </xdr:nvSpPr>
      <xdr:spPr bwMode="auto">
        <a:xfrm>
          <a:off x="8229600" y="32746950"/>
          <a:ext cx="0" cy="0"/>
        </a:xfrm>
        <a:prstGeom prst="line">
          <a:avLst/>
        </a:prstGeom>
        <a:noFill/>
        <a:ln w="9525">
          <a:solidFill>
            <a:srgbClr val="000000"/>
          </a:solidFill>
          <a:round/>
          <a:headEnd/>
          <a:tailEnd/>
        </a:ln>
      </xdr:spPr>
    </xdr:sp>
    <xdr:clientData/>
  </xdr:twoCellAnchor>
  <xdr:twoCellAnchor>
    <xdr:from>
      <xdr:col>2</xdr:col>
      <xdr:colOff>885825</xdr:colOff>
      <xdr:row>64</xdr:row>
      <xdr:rowOff>161925</xdr:rowOff>
    </xdr:from>
    <xdr:to>
      <xdr:col>3</xdr:col>
      <xdr:colOff>762000</xdr:colOff>
      <xdr:row>66</xdr:row>
      <xdr:rowOff>28575</xdr:rowOff>
    </xdr:to>
    <xdr:sp macro="" textlink="">
      <xdr:nvSpPr>
        <xdr:cNvPr id="11" name="Text Box 36"/>
        <xdr:cNvSpPr txBox="1">
          <a:spLocks noChangeArrowheads="1"/>
        </xdr:cNvSpPr>
      </xdr:nvSpPr>
      <xdr:spPr bwMode="auto">
        <a:xfrm>
          <a:off x="2057400" y="11134725"/>
          <a:ext cx="685800" cy="20955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20</a:t>
          </a:r>
          <a:r>
            <a:rPr lang="ja-JP" altLang="en-US" sz="1000" b="0" i="0" u="none" strike="noStrike" baseline="0">
              <a:solidFill>
                <a:srgbClr val="000000"/>
              </a:solidFill>
              <a:latin typeface="ＭＳ ゴシック"/>
              <a:ea typeface="ＭＳ ゴシック"/>
            </a:rPr>
            <a:t>～</a:t>
          </a:r>
          <a:r>
            <a:rPr lang="en-US" altLang="ja-JP" sz="1000" b="0" i="0" u="none" strike="noStrike" baseline="0">
              <a:solidFill>
                <a:srgbClr val="000000"/>
              </a:solidFill>
              <a:latin typeface="ＭＳ ゴシック"/>
              <a:ea typeface="ＭＳ ゴシック"/>
            </a:rPr>
            <a:t>30</a:t>
          </a:r>
          <a:r>
            <a:rPr lang="ja-JP" altLang="en-US" sz="1000" b="0" i="0" u="none" strike="noStrike" baseline="0">
              <a:solidFill>
                <a:srgbClr val="000000"/>
              </a:solidFill>
              <a:latin typeface="ＭＳ ゴシック"/>
              <a:ea typeface="ＭＳ ゴシック"/>
            </a:rPr>
            <a:t>年</a:t>
          </a:r>
        </a:p>
      </xdr:txBody>
    </xdr:sp>
    <xdr:clientData/>
  </xdr:twoCellAnchor>
  <xdr:twoCellAnchor>
    <xdr:from>
      <xdr:col>2</xdr:col>
      <xdr:colOff>752474</xdr:colOff>
      <xdr:row>93</xdr:row>
      <xdr:rowOff>47624</xdr:rowOff>
    </xdr:from>
    <xdr:to>
      <xdr:col>3</xdr:col>
      <xdr:colOff>695324</xdr:colOff>
      <xdr:row>94</xdr:row>
      <xdr:rowOff>95249</xdr:rowOff>
    </xdr:to>
    <xdr:sp macro="" textlink="">
      <xdr:nvSpPr>
        <xdr:cNvPr id="12" name="Text Box 37"/>
        <xdr:cNvSpPr txBox="1">
          <a:spLocks noChangeArrowheads="1"/>
        </xdr:cNvSpPr>
      </xdr:nvSpPr>
      <xdr:spPr bwMode="auto">
        <a:xfrm>
          <a:off x="2057399" y="15992474"/>
          <a:ext cx="685800" cy="21907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20</a:t>
          </a:r>
          <a:r>
            <a:rPr lang="ja-JP" altLang="en-US" sz="1000" b="0" i="0" u="none" strike="noStrike" baseline="0">
              <a:solidFill>
                <a:srgbClr val="000000"/>
              </a:solidFill>
              <a:latin typeface="ＭＳ ゴシック"/>
              <a:ea typeface="ＭＳ ゴシック"/>
            </a:rPr>
            <a:t>～</a:t>
          </a:r>
          <a:r>
            <a:rPr lang="en-US" altLang="ja-JP" sz="1000" b="0" i="0" u="none" strike="noStrike" baseline="0">
              <a:solidFill>
                <a:srgbClr val="000000"/>
              </a:solidFill>
              <a:latin typeface="ＭＳ ゴシック"/>
              <a:ea typeface="ＭＳ ゴシック"/>
            </a:rPr>
            <a:t>30</a:t>
          </a:r>
          <a:r>
            <a:rPr lang="ja-JP" altLang="en-US" sz="1000" b="0" i="0" u="none" strike="noStrike" baseline="0">
              <a:solidFill>
                <a:srgbClr val="000000"/>
              </a:solidFill>
              <a:latin typeface="ＭＳ ゴシック"/>
              <a:ea typeface="ＭＳ ゴシック"/>
            </a:rPr>
            <a:t>年</a:t>
          </a:r>
        </a:p>
      </xdr:txBody>
    </xdr:sp>
    <xdr:clientData/>
  </xdr:twoCellAnchor>
  <xdr:twoCellAnchor>
    <xdr:from>
      <xdr:col>4</xdr:col>
      <xdr:colOff>790575</xdr:colOff>
      <xdr:row>190</xdr:row>
      <xdr:rowOff>9525</xdr:rowOff>
    </xdr:from>
    <xdr:to>
      <xdr:col>4</xdr:col>
      <xdr:colOff>1038225</xdr:colOff>
      <xdr:row>190</xdr:row>
      <xdr:rowOff>161925</xdr:rowOff>
    </xdr:to>
    <xdr:sp macro="" textlink="">
      <xdr:nvSpPr>
        <xdr:cNvPr id="13" name="Text Box 49"/>
        <xdr:cNvSpPr txBox="1">
          <a:spLocks noChangeArrowheads="1"/>
        </xdr:cNvSpPr>
      </xdr:nvSpPr>
      <xdr:spPr bwMode="auto">
        <a:xfrm>
          <a:off x="3429000" y="32585025"/>
          <a:ext cx="0"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歳</a:t>
          </a:r>
        </a:p>
      </xdr:txBody>
    </xdr:sp>
    <xdr:clientData/>
  </xdr:twoCellAnchor>
  <xdr:twoCellAnchor>
    <xdr:from>
      <xdr:col>2</xdr:col>
      <xdr:colOff>1162050</xdr:colOff>
      <xdr:row>7</xdr:row>
      <xdr:rowOff>114300</xdr:rowOff>
    </xdr:from>
    <xdr:to>
      <xdr:col>6</xdr:col>
      <xdr:colOff>276225</xdr:colOff>
      <xdr:row>34</xdr:row>
      <xdr:rowOff>66675</xdr:rowOff>
    </xdr:to>
    <xdr:graphicFrame macro="">
      <xdr:nvGraphicFramePr>
        <xdr:cNvPr id="14" name="Chart 5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66675</xdr:colOff>
      <xdr:row>157</xdr:row>
      <xdr:rowOff>85725</xdr:rowOff>
    </xdr:from>
    <xdr:to>
      <xdr:col>2</xdr:col>
      <xdr:colOff>495300</xdr:colOff>
      <xdr:row>179</xdr:row>
      <xdr:rowOff>66675</xdr:rowOff>
    </xdr:to>
    <xdr:graphicFrame macro="">
      <xdr:nvGraphicFramePr>
        <xdr:cNvPr id="15"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123825</xdr:colOff>
      <xdr:row>40</xdr:row>
      <xdr:rowOff>28575</xdr:rowOff>
    </xdr:from>
    <xdr:to>
      <xdr:col>2</xdr:col>
      <xdr:colOff>1133475</xdr:colOff>
      <xdr:row>58</xdr:row>
      <xdr:rowOff>123825</xdr:rowOff>
    </xdr:to>
    <xdr:graphicFrame macro="">
      <xdr:nvGraphicFramePr>
        <xdr:cNvPr id="16" name="Chart 8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oneCellAnchor>
    <xdr:from>
      <xdr:col>2</xdr:col>
      <xdr:colOff>561975</xdr:colOff>
      <xdr:row>160</xdr:row>
      <xdr:rowOff>85725</xdr:rowOff>
    </xdr:from>
    <xdr:ext cx="4075043" cy="2802007"/>
    <xdr:pic>
      <xdr:nvPicPr>
        <xdr:cNvPr id="17" name="Picture 4"/>
        <xdr:cNvPicPr>
          <a:picLocks noChangeAspect="1" noChangeArrowheads="1"/>
        </xdr:cNvPicPr>
      </xdr:nvPicPr>
      <xdr:blipFill>
        <a:blip xmlns:r="http://schemas.openxmlformats.org/officeDocument/2006/relationships" r:embed="rId9" cstate="print"/>
        <a:srcRect/>
        <a:stretch>
          <a:fillRect/>
        </a:stretch>
      </xdr:blipFill>
      <xdr:spPr bwMode="auto">
        <a:xfrm>
          <a:off x="1933575" y="27517725"/>
          <a:ext cx="4075043" cy="2802007"/>
        </a:xfrm>
        <a:prstGeom prst="rect">
          <a:avLst/>
        </a:prstGeom>
        <a:noFill/>
        <a:ln w="9525">
          <a:noFill/>
          <a:miter lim="800000"/>
          <a:headEnd/>
          <a:tailEnd/>
        </a:ln>
      </xdr:spPr>
    </xdr:pic>
    <xdr:clientData/>
  </xdr:oneCellAnchor>
  <xdr:twoCellAnchor>
    <xdr:from>
      <xdr:col>2</xdr:col>
      <xdr:colOff>1000125</xdr:colOff>
      <xdr:row>186</xdr:row>
      <xdr:rowOff>38100</xdr:rowOff>
    </xdr:from>
    <xdr:to>
      <xdr:col>5</xdr:col>
      <xdr:colOff>1123950</xdr:colOff>
      <xdr:row>210</xdr:row>
      <xdr:rowOff>142875</xdr:rowOff>
    </xdr:to>
    <xdr:graphicFrame macro="">
      <xdr:nvGraphicFramePr>
        <xdr:cNvPr id="18" name="グラフ 4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609600</xdr:colOff>
      <xdr:row>124</xdr:row>
      <xdr:rowOff>28575</xdr:rowOff>
    </xdr:from>
    <xdr:to>
      <xdr:col>3</xdr:col>
      <xdr:colOff>790575</xdr:colOff>
      <xdr:row>125</xdr:row>
      <xdr:rowOff>76200</xdr:rowOff>
    </xdr:to>
    <xdr:sp macro="" textlink="">
      <xdr:nvSpPr>
        <xdr:cNvPr id="19" name="Text Box 37"/>
        <xdr:cNvSpPr txBox="1">
          <a:spLocks noChangeArrowheads="1"/>
        </xdr:cNvSpPr>
      </xdr:nvSpPr>
      <xdr:spPr bwMode="auto">
        <a:xfrm>
          <a:off x="1981200" y="21288375"/>
          <a:ext cx="762000" cy="21907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ゴシック"/>
              <a:ea typeface="ＭＳ ゴシック"/>
            </a:rPr>
            <a:t>各年</a:t>
          </a:r>
          <a:r>
            <a:rPr lang="en-US" altLang="ja-JP" sz="1000" b="0" i="0" u="none" strike="noStrike" baseline="0">
              <a:solidFill>
                <a:srgbClr val="000000"/>
              </a:solidFill>
              <a:latin typeface="ＭＳ ゴシック"/>
              <a:ea typeface="ＭＳ ゴシック"/>
            </a:rPr>
            <a:t>10</a:t>
          </a:r>
          <a:r>
            <a:rPr lang="ja-JP" altLang="en-US" sz="1000" b="0" i="0" u="none" strike="noStrike" baseline="0">
              <a:solidFill>
                <a:srgbClr val="000000"/>
              </a:solidFill>
              <a:latin typeface="ＭＳ ゴシック"/>
              <a:ea typeface="ＭＳ ゴシック"/>
            </a:rPr>
            <a:t>月１日現在</a:t>
          </a:r>
        </a:p>
      </xdr:txBody>
    </xdr:sp>
    <xdr:clientData/>
  </xdr:twoCellAnchor>
  <xdr:twoCellAnchor>
    <xdr:from>
      <xdr:col>0</xdr:col>
      <xdr:colOff>85725</xdr:colOff>
      <xdr:row>186</xdr:row>
      <xdr:rowOff>104775</xdr:rowOff>
    </xdr:from>
    <xdr:to>
      <xdr:col>2</xdr:col>
      <xdr:colOff>895350</xdr:colOff>
      <xdr:row>210</xdr:row>
      <xdr:rowOff>104775</xdr:rowOff>
    </xdr:to>
    <xdr:graphicFrame macro="">
      <xdr:nvGraphicFramePr>
        <xdr:cNvPr id="20"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fLocksWithSheet="0"/>
  </xdr:twoCellAnchor>
  <xdr:twoCellAnchor>
    <xdr:from>
      <xdr:col>0</xdr:col>
      <xdr:colOff>95250</xdr:colOff>
      <xdr:row>215</xdr:row>
      <xdr:rowOff>9525</xdr:rowOff>
    </xdr:from>
    <xdr:to>
      <xdr:col>3</xdr:col>
      <xdr:colOff>1123950</xdr:colOff>
      <xdr:row>243</xdr:row>
      <xdr:rowOff>57150</xdr:rowOff>
    </xdr:to>
    <xdr:graphicFrame macro="">
      <xdr:nvGraphicFramePr>
        <xdr:cNvPr id="21"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209550</xdr:colOff>
      <xdr:row>215</xdr:row>
      <xdr:rowOff>19050</xdr:rowOff>
    </xdr:from>
    <xdr:to>
      <xdr:col>5</xdr:col>
      <xdr:colOff>1085850</xdr:colOff>
      <xdr:row>243</xdr:row>
      <xdr:rowOff>38100</xdr:rowOff>
    </xdr:to>
    <xdr:graphicFrame macro="">
      <xdr:nvGraphicFramePr>
        <xdr:cNvPr id="22"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0.42742</cdr:x>
      <cdr:y>0.4402</cdr:y>
    </cdr:from>
    <cdr:to>
      <cdr:x>0.62234</cdr:x>
      <cdr:y>0.5873</cdr:y>
    </cdr:to>
    <cdr:sp macro="" textlink="">
      <cdr:nvSpPr>
        <cdr:cNvPr id="531457" name="Text Box 2051"/>
        <cdr:cNvSpPr txBox="1">
          <a:spLocks xmlns:a="http://schemas.openxmlformats.org/drawingml/2006/main" noChangeArrowheads="1"/>
        </cdr:cNvSpPr>
      </cdr:nvSpPr>
      <cdr:spPr bwMode="auto">
        <a:xfrm xmlns:a="http://schemas.openxmlformats.org/drawingml/2006/main">
          <a:off x="1396413" y="1320765"/>
          <a:ext cx="636818" cy="44136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ja-JP" altLang="en-US" sz="1000" b="0" i="0" u="none" strike="noStrike" baseline="0">
              <a:solidFill>
                <a:srgbClr val="000000"/>
              </a:solidFill>
              <a:latin typeface="ＭＳ Ｐゴシック"/>
              <a:ea typeface="ＭＳ Ｐゴシック"/>
            </a:rPr>
            <a:t>女（総数</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　　　　　      </a:t>
          </a:r>
          <a:r>
            <a:rPr lang="en-US" altLang="ja-JP" sz="1000" b="0" i="0" u="none" strike="noStrike" baseline="0">
              <a:solidFill>
                <a:srgbClr val="000000"/>
              </a:solidFill>
              <a:latin typeface="ＭＳ Ｐゴシック"/>
              <a:ea typeface="ＭＳ Ｐゴシック"/>
            </a:rPr>
            <a:t>        58,707</a:t>
          </a:r>
          <a:r>
            <a:rPr lang="ja-JP" altLang="en-US" sz="1000" b="0" i="0" u="none" strike="noStrike" baseline="0">
              <a:solidFill>
                <a:srgbClr val="000000"/>
              </a:solidFill>
              <a:latin typeface="ＭＳ Ｐゴシック"/>
              <a:ea typeface="ＭＳ Ｐゴシック"/>
            </a:rPr>
            <a:t>人</a:t>
          </a:r>
          <a:endParaRPr lang="ja-JP" altLang="en-US" sz="825" b="0" i="0" u="none" strike="noStrike" baseline="0">
            <a:solidFill>
              <a:srgbClr val="000000"/>
            </a:solidFill>
            <a:latin typeface="ＭＳ Ｐゴシック"/>
            <a:ea typeface="ＭＳ Ｐゴシック"/>
          </a:endParaRPr>
        </a:p>
        <a:p xmlns:a="http://schemas.openxmlformats.org/drawingml/2006/main">
          <a:pPr algn="ctr" rtl="0">
            <a:defRPr sz="1000"/>
          </a:pPr>
          <a:r>
            <a:rPr lang="ja-JP" altLang="en-US" sz="825" b="0" i="0" u="none" strike="noStrike" baseline="0">
              <a:solidFill>
                <a:srgbClr val="000000"/>
              </a:solidFill>
              <a:latin typeface="ＭＳ Ｐゴシック"/>
              <a:ea typeface="ＭＳ Ｐゴシック"/>
            </a:rPr>
            <a:t>　　　　　　</a:t>
          </a:r>
        </a:p>
      </cdr:txBody>
    </cdr:sp>
  </cdr:relSizeAnchor>
</c:userShapes>
</file>

<file path=xl/drawings/drawing7.xml><?xml version="1.0" encoding="utf-8"?>
<c:userShapes xmlns:c="http://schemas.openxmlformats.org/drawingml/2006/chart">
  <cdr:relSizeAnchor xmlns:cdr="http://schemas.openxmlformats.org/drawingml/2006/chartDrawing">
    <cdr:from>
      <cdr:x>0.36933</cdr:x>
      <cdr:y>0.44968</cdr:y>
    </cdr:from>
    <cdr:to>
      <cdr:x>0.59864</cdr:x>
      <cdr:y>0.58044</cdr:y>
    </cdr:to>
    <cdr:sp macro="" textlink="">
      <cdr:nvSpPr>
        <cdr:cNvPr id="139265" name="Text Box 1"/>
        <cdr:cNvSpPr txBox="1">
          <a:spLocks xmlns:a="http://schemas.openxmlformats.org/drawingml/2006/main" noChangeArrowheads="1"/>
        </cdr:cNvSpPr>
      </cdr:nvSpPr>
      <cdr:spPr bwMode="auto">
        <a:xfrm xmlns:a="http://schemas.openxmlformats.org/drawingml/2006/main">
          <a:off x="1238290" y="1357774"/>
          <a:ext cx="768830" cy="394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ja-JP" altLang="en-US" sz="1000" b="0" i="0" u="none" strike="noStrike" baseline="0">
              <a:solidFill>
                <a:srgbClr val="000000"/>
              </a:solidFill>
              <a:latin typeface="ＭＳ Ｐゴシック"/>
              <a:ea typeface="ＭＳ Ｐゴシック"/>
            </a:rPr>
            <a:t>男（総数</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　　　　　　　　　    </a:t>
          </a:r>
          <a:endParaRPr lang="en-US" altLang="ja-JP" sz="1000" b="0" i="0" u="none" strike="noStrike" baseline="0">
            <a:solidFill>
              <a:srgbClr val="000000"/>
            </a:solidFill>
            <a:latin typeface="ＭＳ Ｐゴシック"/>
            <a:ea typeface="ＭＳ Ｐゴシック"/>
          </a:endParaRPr>
        </a:p>
        <a:p xmlns:a="http://schemas.openxmlformats.org/drawingml/2006/main">
          <a:pPr algn="ctr" rtl="0">
            <a:defRPr sz="1000"/>
          </a:pPr>
          <a:r>
            <a:rPr lang="en-US" altLang="ja-JP" sz="1000" b="0" i="0" u="none" strike="noStrike" baseline="0">
              <a:solidFill>
                <a:srgbClr val="000000"/>
              </a:solidFill>
              <a:latin typeface="ＭＳ Ｐゴシック"/>
              <a:ea typeface="ＭＳ Ｐゴシック"/>
            </a:rPr>
            <a:t>55,824</a:t>
          </a:r>
          <a:r>
            <a:rPr lang="ja-JP" altLang="en-US" sz="1000" b="0" i="0" u="none" strike="noStrike" baseline="0">
              <a:solidFill>
                <a:srgbClr val="000000"/>
              </a:solidFill>
              <a:latin typeface="ＭＳ Ｐゴシック"/>
              <a:ea typeface="ＭＳ Ｐゴシック"/>
            </a:rPr>
            <a:t>人　　</a:t>
          </a:r>
          <a:r>
            <a:rPr lang="ja-JP" altLang="en-US" sz="800" b="0" i="0" u="none" strike="noStrike" baseline="0">
              <a:solidFill>
                <a:srgbClr val="000000"/>
              </a:solidFill>
              <a:latin typeface="ＭＳ Ｐゴシック"/>
              <a:ea typeface="ＭＳ Ｐゴシック"/>
            </a:rPr>
            <a:t>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31.254.51\fs\section\kikaku_section\&#32113;&#35336;&#20418;\&#20849;&#26377;\&#65308;&#32113;&#35336;&#12358;&#12425;&#12381;&#12360;&#65310;\&#24179;&#25104;&#65298;&#65305;&#24180;&#29256;&#32113;&#35336;&#12358;&#12425;&#12381;&#12360;\&#9632;&#65288;&#20837;&#21147;&#29992;&#65289;H29\02_&#9632;&#20154;&#21475;_15&#6537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9-"/>
      <sheetName val="‐40‐"/>
      <sheetName val="‐41‐"/>
      <sheetName val="‐42‐"/>
      <sheetName val="‐43‐"/>
      <sheetName val="‐44‐"/>
      <sheetName val="‐45‐"/>
      <sheetName val="‐46‐"/>
      <sheetName val="‐47‐"/>
      <sheetName val="‐48‐"/>
      <sheetName val="‐49‐"/>
      <sheetName val="‐50‐"/>
      <sheetName val="‐51‐"/>
      <sheetName val="‐52‐"/>
      <sheetName val="‐53‐"/>
      <sheetName val="‐54‐"/>
      <sheetName val="グラフ"/>
    </sheetNames>
    <sheetDataSet>
      <sheetData sheetId="0"/>
      <sheetData sheetId="1"/>
      <sheetData sheetId="2"/>
      <sheetData sheetId="3"/>
      <sheetData sheetId="4"/>
      <sheetData sheetId="5"/>
      <sheetData sheetId="6"/>
      <sheetData sheetId="7"/>
      <sheetData sheetId="8"/>
      <sheetData sheetId="9">
        <row r="25">
          <cell r="D25">
            <v>20362</v>
          </cell>
          <cell r="E25">
            <v>21406</v>
          </cell>
          <cell r="G25">
            <v>35.520000000000003</v>
          </cell>
        </row>
        <row r="27">
          <cell r="D27">
            <v>29382</v>
          </cell>
          <cell r="E27">
            <v>29907</v>
          </cell>
          <cell r="G27">
            <v>41.95</v>
          </cell>
        </row>
        <row r="29">
          <cell r="D29">
            <v>34773</v>
          </cell>
          <cell r="E29">
            <v>35509</v>
          </cell>
          <cell r="G29">
            <v>18.54</v>
          </cell>
        </row>
        <row r="31">
          <cell r="D31">
            <v>40547</v>
          </cell>
          <cell r="E31">
            <v>41064</v>
          </cell>
          <cell r="G31">
            <v>16.12</v>
          </cell>
        </row>
        <row r="33">
          <cell r="D33">
            <v>44316</v>
          </cell>
          <cell r="E33">
            <v>45678</v>
          </cell>
          <cell r="G33">
            <v>10.27</v>
          </cell>
        </row>
        <row r="35">
          <cell r="D35">
            <v>47360</v>
          </cell>
          <cell r="E35">
            <v>48642</v>
          </cell>
          <cell r="G35">
            <v>6.68</v>
          </cell>
        </row>
        <row r="37">
          <cell r="D37">
            <v>50440</v>
          </cell>
          <cell r="E37">
            <v>52294</v>
          </cell>
          <cell r="G37">
            <v>7.01</v>
          </cell>
        </row>
        <row r="39">
          <cell r="D39">
            <v>52128</v>
          </cell>
          <cell r="E39">
            <v>53921</v>
          </cell>
          <cell r="G39">
            <v>3.23</v>
          </cell>
        </row>
        <row r="41">
          <cell r="D41">
            <v>53948</v>
          </cell>
          <cell r="E41">
            <v>56403</v>
          </cell>
          <cell r="G41">
            <v>4.0599999999999996</v>
          </cell>
        </row>
        <row r="43">
          <cell r="D43">
            <v>55471</v>
          </cell>
          <cell r="E43">
            <v>58761</v>
          </cell>
          <cell r="G43">
            <v>3.52</v>
          </cell>
        </row>
      </sheetData>
      <sheetData sheetId="10"/>
      <sheetData sheetId="11">
        <row r="12">
          <cell r="C12">
            <v>21528</v>
          </cell>
          <cell r="G12">
            <v>71343</v>
          </cell>
          <cell r="J12">
            <v>13169</v>
          </cell>
        </row>
        <row r="14">
          <cell r="C14">
            <v>21264</v>
          </cell>
          <cell r="G14">
            <v>72687</v>
          </cell>
          <cell r="J14">
            <v>15846</v>
          </cell>
        </row>
        <row r="16">
          <cell r="C16">
            <v>20910</v>
          </cell>
          <cell r="G16">
            <v>72626</v>
          </cell>
          <cell r="J16">
            <v>19476</v>
          </cell>
        </row>
      </sheetData>
      <sheetData sheetId="12"/>
      <sheetData sheetId="13"/>
      <sheetData sheetId="14">
        <row r="14">
          <cell r="N14">
            <v>97.318614748931992</v>
          </cell>
          <cell r="P14">
            <v>64.014373716632448</v>
          </cell>
        </row>
      </sheetData>
      <sheetData sheetId="15">
        <row r="27">
          <cell r="B27">
            <v>16933</v>
          </cell>
          <cell r="C27">
            <v>18531</v>
          </cell>
        </row>
        <row r="28">
          <cell r="B28">
            <v>1452</v>
          </cell>
          <cell r="C28">
            <v>1352</v>
          </cell>
        </row>
        <row r="29">
          <cell r="B29">
            <v>20484</v>
          </cell>
          <cell r="C29">
            <v>22415</v>
          </cell>
        </row>
        <row r="30">
          <cell r="B30">
            <v>1004</v>
          </cell>
          <cell r="C30">
            <v>714</v>
          </cell>
        </row>
        <row r="31">
          <cell r="B31">
            <v>821</v>
          </cell>
          <cell r="C31">
            <v>751</v>
          </cell>
        </row>
      </sheetData>
      <sheetData sheetId="16">
        <row r="80">
          <cell r="I80" t="str">
            <v>人口増加</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50"/>
  <sheetViews>
    <sheetView view="pageBreakPreview" zoomScaleNormal="100" zoomScaleSheetLayoutView="100" workbookViewId="0">
      <selection activeCell="K32" sqref="K32"/>
    </sheetView>
  </sheetViews>
  <sheetFormatPr defaultRowHeight="17.100000000000001" customHeight="1"/>
  <cols>
    <col min="1" max="1" width="8.625" style="360" customWidth="1"/>
    <col min="2" max="2" width="9.625" style="360" customWidth="1"/>
    <col min="3" max="3" width="10.375" style="360" customWidth="1"/>
    <col min="4" max="4" width="10.25" style="360" bestFit="1" customWidth="1"/>
    <col min="5" max="5" width="9.5" style="360" customWidth="1"/>
    <col min="6" max="6" width="9.125" style="360" bestFit="1" customWidth="1"/>
    <col min="7" max="8" width="8.875" style="360" customWidth="1"/>
    <col min="9" max="9" width="7.5" style="360" customWidth="1"/>
    <col min="10" max="10" width="8.75" style="360" customWidth="1"/>
    <col min="11" max="16384" width="9" style="360"/>
  </cols>
  <sheetData>
    <row r="1" spans="1:14" ht="30" customHeight="1">
      <c r="A1" s="356" t="s">
        <v>705</v>
      </c>
      <c r="B1" s="656"/>
      <c r="C1" s="656"/>
      <c r="D1" s="656"/>
      <c r="E1" s="656"/>
      <c r="F1" s="656"/>
      <c r="G1" s="656"/>
      <c r="H1" s="656"/>
      <c r="I1" s="656"/>
      <c r="J1" s="656"/>
    </row>
    <row r="2" spans="1:14" ht="15" customHeight="1">
      <c r="A2" s="357"/>
      <c r="B2" s="657"/>
      <c r="C2" s="657"/>
      <c r="D2" s="657"/>
      <c r="E2" s="657"/>
      <c r="F2" s="657"/>
      <c r="G2" s="657"/>
      <c r="H2" s="657"/>
      <c r="I2" s="657"/>
      <c r="J2" s="657"/>
    </row>
    <row r="3" spans="1:14" ht="15" customHeight="1" thickBot="1">
      <c r="A3" s="357" t="s">
        <v>416</v>
      </c>
      <c r="B3" s="657"/>
      <c r="C3" s="657"/>
      <c r="D3" s="657"/>
      <c r="E3" s="657"/>
      <c r="F3" s="657"/>
      <c r="G3" s="657"/>
      <c r="H3" s="657"/>
      <c r="I3" s="357"/>
      <c r="J3" s="358" t="s">
        <v>417</v>
      </c>
    </row>
    <row r="4" spans="1:14" ht="20.100000000000001" customHeight="1">
      <c r="A4" s="733" t="s">
        <v>418</v>
      </c>
      <c r="B4" s="735" t="s">
        <v>419</v>
      </c>
      <c r="C4" s="737" t="s">
        <v>420</v>
      </c>
      <c r="D4" s="738"/>
      <c r="E4" s="739"/>
      <c r="F4" s="629" t="s">
        <v>421</v>
      </c>
      <c r="G4" s="737" t="s">
        <v>13</v>
      </c>
      <c r="H4" s="739"/>
      <c r="I4" s="737" t="s">
        <v>13</v>
      </c>
      <c r="J4" s="746"/>
    </row>
    <row r="5" spans="1:14" ht="20.100000000000001" customHeight="1">
      <c r="A5" s="734"/>
      <c r="B5" s="736"/>
      <c r="C5" s="359" t="s">
        <v>422</v>
      </c>
      <c r="D5" s="359" t="s">
        <v>423</v>
      </c>
      <c r="E5" s="359" t="s">
        <v>424</v>
      </c>
      <c r="F5" s="630" t="s">
        <v>425</v>
      </c>
      <c r="G5" s="747" t="s">
        <v>17</v>
      </c>
      <c r="H5" s="748"/>
      <c r="I5" s="747" t="s">
        <v>18</v>
      </c>
      <c r="J5" s="749"/>
    </row>
    <row r="6" spans="1:14" ht="17.100000000000001" customHeight="1">
      <c r="A6" s="633" t="s">
        <v>673</v>
      </c>
      <c r="B6" s="608">
        <v>43263</v>
      </c>
      <c r="C6" s="609">
        <v>110989</v>
      </c>
      <c r="D6" s="609">
        <v>54426</v>
      </c>
      <c r="E6" s="609">
        <v>56563</v>
      </c>
      <c r="F6" s="124">
        <v>2.57</v>
      </c>
      <c r="G6" s="742">
        <v>883</v>
      </c>
      <c r="H6" s="742"/>
      <c r="I6" s="740">
        <v>7.9557433619547886E-3</v>
      </c>
      <c r="J6" s="741"/>
      <c r="L6" s="361"/>
      <c r="M6" s="361"/>
      <c r="N6" s="361"/>
    </row>
    <row r="7" spans="1:14" ht="17.100000000000001" customHeight="1">
      <c r="A7" s="633">
        <v>22</v>
      </c>
      <c r="B7" s="122">
        <v>43849</v>
      </c>
      <c r="C7" s="123">
        <v>111595</v>
      </c>
      <c r="D7" s="123">
        <v>54612</v>
      </c>
      <c r="E7" s="123">
        <v>56983</v>
      </c>
      <c r="F7" s="124">
        <v>2.54</v>
      </c>
      <c r="G7" s="743">
        <v>606</v>
      </c>
      <c r="H7" s="743"/>
      <c r="I7" s="744">
        <v>5.4303508221694519E-3</v>
      </c>
      <c r="J7" s="745"/>
      <c r="L7" s="361"/>
      <c r="M7" s="361"/>
      <c r="N7" s="361"/>
    </row>
    <row r="8" spans="1:14" ht="17.100000000000001" customHeight="1">
      <c r="A8" s="633">
        <v>23</v>
      </c>
      <c r="B8" s="122">
        <v>44675</v>
      </c>
      <c r="C8" s="123">
        <v>112277</v>
      </c>
      <c r="D8" s="123">
        <v>54927</v>
      </c>
      <c r="E8" s="123">
        <v>57350</v>
      </c>
      <c r="F8" s="124">
        <v>2.5099999999999998</v>
      </c>
      <c r="G8" s="743">
        <v>682</v>
      </c>
      <c r="H8" s="743"/>
      <c r="I8" s="744">
        <v>6.074262760850397E-3</v>
      </c>
      <c r="J8" s="745"/>
      <c r="L8" s="361"/>
      <c r="M8" s="361"/>
      <c r="N8" s="361"/>
    </row>
    <row r="9" spans="1:14" ht="17.100000000000001" customHeight="1">
      <c r="A9" s="633">
        <v>24</v>
      </c>
      <c r="B9" s="122">
        <v>45783</v>
      </c>
      <c r="C9" s="123">
        <v>113745</v>
      </c>
      <c r="D9" s="123">
        <v>55780</v>
      </c>
      <c r="E9" s="123">
        <v>57965</v>
      </c>
      <c r="F9" s="124">
        <v>2.48</v>
      </c>
      <c r="G9" s="743">
        <v>1468</v>
      </c>
      <c r="H9" s="743"/>
      <c r="I9" s="744">
        <v>1.2906061804914501E-2</v>
      </c>
      <c r="J9" s="745"/>
      <c r="L9" s="361"/>
      <c r="M9" s="361"/>
      <c r="N9" s="361"/>
    </row>
    <row r="10" spans="1:14" ht="17.100000000000001" customHeight="1">
      <c r="A10" s="633">
        <v>25</v>
      </c>
      <c r="B10" s="122">
        <v>46416</v>
      </c>
      <c r="C10" s="123">
        <v>114217</v>
      </c>
      <c r="D10" s="123">
        <v>55949</v>
      </c>
      <c r="E10" s="123">
        <v>58268</v>
      </c>
      <c r="F10" s="124">
        <v>2.46</v>
      </c>
      <c r="G10" s="743">
        <v>472</v>
      </c>
      <c r="H10" s="743"/>
      <c r="I10" s="744">
        <v>4.13248465639966E-3</v>
      </c>
      <c r="J10" s="745"/>
      <c r="L10" s="361"/>
      <c r="M10" s="361"/>
      <c r="N10" s="361"/>
    </row>
    <row r="11" spans="1:14" ht="17.100000000000001" customHeight="1">
      <c r="A11" s="633">
        <v>26</v>
      </c>
      <c r="B11" s="122">
        <v>46953</v>
      </c>
      <c r="C11" s="123">
        <v>114245</v>
      </c>
      <c r="D11" s="123">
        <v>55850</v>
      </c>
      <c r="E11" s="123">
        <v>58395</v>
      </c>
      <c r="F11" s="124">
        <v>2.4300000000000002</v>
      </c>
      <c r="G11" s="750">
        <v>28</v>
      </c>
      <c r="H11" s="750"/>
      <c r="I11" s="744">
        <v>2.4508731235502645E-4</v>
      </c>
      <c r="J11" s="745"/>
      <c r="L11" s="361"/>
      <c r="M11" s="361"/>
      <c r="N11" s="361"/>
    </row>
    <row r="12" spans="1:14" ht="17.100000000000001" customHeight="1">
      <c r="A12" s="633">
        <v>27</v>
      </c>
      <c r="B12" s="122">
        <v>47575</v>
      </c>
      <c r="C12" s="123">
        <v>114165</v>
      </c>
      <c r="D12" s="123">
        <v>55729</v>
      </c>
      <c r="E12" s="123">
        <v>58436</v>
      </c>
      <c r="F12" s="124">
        <v>2.4</v>
      </c>
      <c r="G12" s="750">
        <v>-80</v>
      </c>
      <c r="H12" s="750"/>
      <c r="I12" s="744">
        <v>-7.0074015679061005E-4</v>
      </c>
      <c r="J12" s="745"/>
      <c r="L12" s="361"/>
      <c r="M12" s="361"/>
      <c r="N12" s="361"/>
    </row>
    <row r="13" spans="1:14" ht="17.100000000000001" customHeight="1">
      <c r="A13" s="633">
        <v>28</v>
      </c>
      <c r="B13" s="122">
        <v>48216</v>
      </c>
      <c r="C13" s="123">
        <v>114337</v>
      </c>
      <c r="D13" s="123">
        <v>55787</v>
      </c>
      <c r="E13" s="123">
        <v>58550</v>
      </c>
      <c r="F13" s="124">
        <v>2.37</v>
      </c>
      <c r="G13" s="750">
        <v>172</v>
      </c>
      <c r="H13" s="750"/>
      <c r="I13" s="744">
        <v>1.5043249341857841E-3</v>
      </c>
      <c r="J13" s="745"/>
      <c r="L13" s="361"/>
      <c r="M13" s="361"/>
      <c r="N13" s="361"/>
    </row>
    <row r="14" spans="1:14" ht="17.100000000000001" customHeight="1">
      <c r="A14" s="633">
        <v>29</v>
      </c>
      <c r="B14" s="122">
        <v>48916</v>
      </c>
      <c r="C14" s="123">
        <v>114372</v>
      </c>
      <c r="D14" s="123">
        <v>55782</v>
      </c>
      <c r="E14" s="123">
        <v>58590</v>
      </c>
      <c r="F14" s="124">
        <v>2.34</v>
      </c>
      <c r="G14" s="750">
        <v>35</v>
      </c>
      <c r="H14" s="750"/>
      <c r="I14" s="744">
        <v>3.0601895568845521E-4</v>
      </c>
      <c r="J14" s="745"/>
      <c r="L14" s="361"/>
      <c r="M14" s="361"/>
      <c r="N14" s="361"/>
    </row>
    <row r="15" spans="1:14" ht="17.100000000000001" customHeight="1" thickBot="1">
      <c r="A15" s="658">
        <v>30</v>
      </c>
      <c r="B15" s="659">
        <v>49610</v>
      </c>
      <c r="C15" s="659">
        <f>SUM(D15:E15)</f>
        <v>114531</v>
      </c>
      <c r="D15" s="659">
        <v>55824</v>
      </c>
      <c r="E15" s="659">
        <v>58707</v>
      </c>
      <c r="F15" s="655">
        <f>ROUND(C15/B15,2)</f>
        <v>2.31</v>
      </c>
      <c r="G15" s="754">
        <f>C15-C14</f>
        <v>159</v>
      </c>
      <c r="H15" s="754"/>
      <c r="I15" s="755">
        <f>G15/C15</f>
        <v>1.3882704246011997E-3</v>
      </c>
      <c r="J15" s="756"/>
      <c r="L15" s="361"/>
      <c r="M15" s="361"/>
      <c r="N15" s="361"/>
    </row>
    <row r="16" spans="1:14" ht="17.100000000000001" customHeight="1">
      <c r="A16" s="362" t="s">
        <v>533</v>
      </c>
      <c r="B16" s="657"/>
      <c r="C16" s="657"/>
      <c r="D16" s="657"/>
      <c r="E16" s="657"/>
      <c r="F16" s="657"/>
      <c r="G16" s="657"/>
      <c r="H16" s="657"/>
      <c r="I16" s="657"/>
      <c r="J16" s="358" t="s">
        <v>646</v>
      </c>
      <c r="L16" s="361"/>
      <c r="M16" s="361"/>
      <c r="N16" s="361"/>
    </row>
    <row r="17" spans="1:15" ht="15" customHeight="1">
      <c r="A17" s="357"/>
      <c r="B17" s="657"/>
      <c r="C17" s="657"/>
      <c r="D17" s="657"/>
      <c r="E17" s="657"/>
      <c r="F17" s="657"/>
      <c r="G17" s="657"/>
      <c r="H17" s="657"/>
      <c r="I17" s="657"/>
      <c r="J17" s="657"/>
      <c r="L17" s="361"/>
      <c r="M17" s="361"/>
      <c r="N17" s="361"/>
    </row>
    <row r="18" spans="1:15" ht="15" customHeight="1" thickBot="1">
      <c r="A18" s="357" t="s">
        <v>426</v>
      </c>
      <c r="B18" s="657"/>
      <c r="C18" s="657"/>
      <c r="D18" s="657"/>
      <c r="E18" s="657"/>
      <c r="F18" s="657"/>
      <c r="G18" s="657"/>
      <c r="H18" s="657"/>
      <c r="I18" s="657"/>
      <c r="J18" s="358" t="s">
        <v>417</v>
      </c>
      <c r="L18" s="361"/>
      <c r="M18" s="361"/>
    </row>
    <row r="19" spans="1:15" ht="15" customHeight="1">
      <c r="A19" s="733" t="s">
        <v>427</v>
      </c>
      <c r="B19" s="735" t="s">
        <v>419</v>
      </c>
      <c r="C19" s="737" t="s">
        <v>428</v>
      </c>
      <c r="D19" s="738"/>
      <c r="E19" s="739"/>
      <c r="F19" s="629" t="s">
        <v>429</v>
      </c>
      <c r="G19" s="737" t="s">
        <v>13</v>
      </c>
      <c r="H19" s="739"/>
      <c r="I19" s="737" t="s">
        <v>13</v>
      </c>
      <c r="J19" s="746"/>
      <c r="K19" s="362"/>
      <c r="L19" s="361"/>
      <c r="M19" s="361"/>
    </row>
    <row r="20" spans="1:15" ht="20.100000000000001" customHeight="1">
      <c r="A20" s="734"/>
      <c r="B20" s="736"/>
      <c r="C20" s="359" t="s">
        <v>430</v>
      </c>
      <c r="D20" s="359" t="s">
        <v>431</v>
      </c>
      <c r="E20" s="359" t="s">
        <v>432</v>
      </c>
      <c r="F20" s="630" t="s">
        <v>425</v>
      </c>
      <c r="G20" s="747" t="s">
        <v>17</v>
      </c>
      <c r="H20" s="748"/>
      <c r="I20" s="747" t="s">
        <v>18</v>
      </c>
      <c r="J20" s="749"/>
      <c r="K20" s="657"/>
      <c r="O20" s="361"/>
    </row>
    <row r="21" spans="1:15" ht="17.100000000000001" customHeight="1">
      <c r="A21" s="633" t="s">
        <v>674</v>
      </c>
      <c r="B21" s="122">
        <v>42695</v>
      </c>
      <c r="C21" s="121">
        <f t="shared" ref="C21:C23" si="0">D21+E21</f>
        <v>110285</v>
      </c>
      <c r="D21" s="121">
        <v>54111</v>
      </c>
      <c r="E21" s="123">
        <v>56174</v>
      </c>
      <c r="F21" s="124">
        <f t="shared" ref="F21:F27" si="1">ROUND(C21/B21,2)</f>
        <v>2.58</v>
      </c>
      <c r="G21" s="767">
        <v>912</v>
      </c>
      <c r="H21" s="767"/>
      <c r="I21" s="752">
        <f t="shared" ref="I21:I25" si="2">G21/C21</f>
        <v>8.2694836106451466E-3</v>
      </c>
      <c r="J21" s="753"/>
    </row>
    <row r="22" spans="1:15" ht="17.100000000000001" customHeight="1">
      <c r="A22" s="633">
        <v>22</v>
      </c>
      <c r="B22" s="122">
        <v>43388</v>
      </c>
      <c r="C22" s="121">
        <f t="shared" si="0"/>
        <v>110894</v>
      </c>
      <c r="D22" s="121">
        <v>54406</v>
      </c>
      <c r="E22" s="123">
        <v>56488</v>
      </c>
      <c r="F22" s="124">
        <f t="shared" si="1"/>
        <v>2.56</v>
      </c>
      <c r="G22" s="751">
        <f>C22-C21</f>
        <v>609</v>
      </c>
      <c r="H22" s="751"/>
      <c r="I22" s="744">
        <f t="shared" si="2"/>
        <v>5.4917308420653959E-3</v>
      </c>
      <c r="J22" s="745"/>
    </row>
    <row r="23" spans="1:15" ht="17.100000000000001" customHeight="1">
      <c r="A23" s="633">
        <v>23</v>
      </c>
      <c r="B23" s="122">
        <v>43957</v>
      </c>
      <c r="C23" s="121">
        <f t="shared" si="0"/>
        <v>111463</v>
      </c>
      <c r="D23" s="121">
        <v>54524</v>
      </c>
      <c r="E23" s="123">
        <v>56939</v>
      </c>
      <c r="F23" s="124">
        <f t="shared" si="1"/>
        <v>2.54</v>
      </c>
      <c r="G23" s="751">
        <f t="shared" ref="G23:G25" si="3">C23-C22</f>
        <v>569</v>
      </c>
      <c r="H23" s="751"/>
      <c r="I23" s="744">
        <f t="shared" si="2"/>
        <v>5.1048329939082926E-3</v>
      </c>
      <c r="J23" s="745"/>
    </row>
    <row r="24" spans="1:15" ht="17.100000000000001" customHeight="1">
      <c r="A24" s="633">
        <v>24</v>
      </c>
      <c r="B24" s="122">
        <v>44915</v>
      </c>
      <c r="C24" s="123">
        <f>SUM(D24,E24)</f>
        <v>112413</v>
      </c>
      <c r="D24" s="121">
        <v>54970</v>
      </c>
      <c r="E24" s="123">
        <v>57443</v>
      </c>
      <c r="F24" s="124">
        <f t="shared" si="1"/>
        <v>2.5</v>
      </c>
      <c r="G24" s="751">
        <f t="shared" si="3"/>
        <v>950</v>
      </c>
      <c r="H24" s="751"/>
      <c r="I24" s="744">
        <f t="shared" si="2"/>
        <v>8.4509798688763762E-3</v>
      </c>
      <c r="J24" s="745"/>
    </row>
    <row r="25" spans="1:15" ht="17.100000000000001" customHeight="1">
      <c r="A25" s="633">
        <v>25</v>
      </c>
      <c r="B25" s="122">
        <v>45949</v>
      </c>
      <c r="C25" s="123">
        <f>SUM(D25,E25)</f>
        <v>113752</v>
      </c>
      <c r="D25" s="123">
        <v>55707</v>
      </c>
      <c r="E25" s="123">
        <v>58045</v>
      </c>
      <c r="F25" s="124">
        <f t="shared" si="1"/>
        <v>2.48</v>
      </c>
      <c r="G25" s="751">
        <f t="shared" si="3"/>
        <v>1339</v>
      </c>
      <c r="H25" s="751"/>
      <c r="I25" s="744">
        <f t="shared" si="2"/>
        <v>1.1771221604894858E-2</v>
      </c>
      <c r="J25" s="745"/>
    </row>
    <row r="26" spans="1:15" ht="17.100000000000001" customHeight="1">
      <c r="A26" s="633">
        <v>26</v>
      </c>
      <c r="B26" s="122">
        <v>46432</v>
      </c>
      <c r="C26" s="123">
        <f>SUM(D26,E26)</f>
        <v>113893</v>
      </c>
      <c r="D26" s="123">
        <v>55731</v>
      </c>
      <c r="E26" s="123">
        <v>58162</v>
      </c>
      <c r="F26" s="124">
        <f t="shared" si="1"/>
        <v>2.4500000000000002</v>
      </c>
      <c r="G26" s="751">
        <f>C26-C25</f>
        <v>141</v>
      </c>
      <c r="H26" s="751"/>
      <c r="I26" s="744">
        <f>G26/C26</f>
        <v>1.2380040915596217E-3</v>
      </c>
      <c r="J26" s="745"/>
    </row>
    <row r="27" spans="1:15" ht="17.100000000000001" customHeight="1">
      <c r="A27" s="633">
        <v>27</v>
      </c>
      <c r="B27" s="122">
        <v>47055</v>
      </c>
      <c r="C27" s="123">
        <f>SUM(D27:E27)</f>
        <v>113974</v>
      </c>
      <c r="D27" s="123">
        <v>55635</v>
      </c>
      <c r="E27" s="123">
        <v>58339</v>
      </c>
      <c r="F27" s="124">
        <f t="shared" si="1"/>
        <v>2.42</v>
      </c>
      <c r="G27" s="751">
        <f>C27-C26</f>
        <v>81</v>
      </c>
      <c r="H27" s="751"/>
      <c r="I27" s="744">
        <f>G27/C27</f>
        <v>7.1068840261814098E-4</v>
      </c>
      <c r="J27" s="745"/>
      <c r="K27" s="363"/>
      <c r="L27" s="361"/>
    </row>
    <row r="28" spans="1:15" ht="17.100000000000001" customHeight="1">
      <c r="A28" s="633">
        <v>28</v>
      </c>
      <c r="B28" s="122">
        <v>47384</v>
      </c>
      <c r="C28" s="123">
        <f>SUM(D28:E28)</f>
        <v>113580</v>
      </c>
      <c r="D28" s="123">
        <v>55348</v>
      </c>
      <c r="E28" s="123">
        <v>58232</v>
      </c>
      <c r="F28" s="124">
        <f>ROUND(C28/B28,2)</f>
        <v>2.4</v>
      </c>
      <c r="G28" s="751">
        <f>+C28-C27</f>
        <v>-394</v>
      </c>
      <c r="H28" s="751"/>
      <c r="I28" s="744">
        <f>G28/C28</f>
        <v>-3.4689205846099667E-3</v>
      </c>
      <c r="J28" s="745"/>
    </row>
    <row r="29" spans="1:15" ht="17.100000000000001" customHeight="1">
      <c r="A29" s="633">
        <v>29</v>
      </c>
      <c r="B29" s="123">
        <v>48100</v>
      </c>
      <c r="C29" s="123">
        <f>SUM(D29:E29)</f>
        <v>113578</v>
      </c>
      <c r="D29" s="123">
        <v>55347</v>
      </c>
      <c r="E29" s="123">
        <v>58231</v>
      </c>
      <c r="F29" s="124">
        <f>ROUND(C29/B29,2)</f>
        <v>2.36</v>
      </c>
      <c r="G29" s="751">
        <f>+C29-C28</f>
        <v>-2</v>
      </c>
      <c r="H29" s="751"/>
      <c r="I29" s="744">
        <f>G29/C29</f>
        <v>-1.7609044005000968E-5</v>
      </c>
      <c r="J29" s="745"/>
    </row>
    <row r="30" spans="1:15" ht="17.100000000000001" customHeight="1" thickBot="1">
      <c r="A30" s="658">
        <v>30</v>
      </c>
      <c r="B30" s="659">
        <v>48633</v>
      </c>
      <c r="C30" s="659">
        <f>SUM(D30:E30)</f>
        <v>113447</v>
      </c>
      <c r="D30" s="659">
        <v>55192</v>
      </c>
      <c r="E30" s="659">
        <v>58255</v>
      </c>
      <c r="F30" s="655">
        <f>ROUND(C30/B30,2)</f>
        <v>2.33</v>
      </c>
      <c r="G30" s="766">
        <f>+C30-C29</f>
        <v>-131</v>
      </c>
      <c r="H30" s="766"/>
      <c r="I30" s="755">
        <f>G30/C30</f>
        <v>-1.154724232460973E-3</v>
      </c>
      <c r="J30" s="756"/>
    </row>
    <row r="31" spans="1:15" ht="17.100000000000001" customHeight="1">
      <c r="B31" s="657"/>
      <c r="C31" s="657"/>
      <c r="D31" s="657"/>
      <c r="E31" s="657"/>
      <c r="F31" s="657"/>
      <c r="G31" s="657"/>
      <c r="H31" s="657"/>
      <c r="I31" s="657"/>
      <c r="J31" s="358" t="s">
        <v>646</v>
      </c>
    </row>
    <row r="32" spans="1:15" ht="17.100000000000001" customHeight="1">
      <c r="A32" s="357" t="s">
        <v>21</v>
      </c>
      <c r="B32" s="657"/>
      <c r="C32" s="657"/>
      <c r="D32" s="657"/>
      <c r="E32" s="657"/>
      <c r="F32" s="657"/>
      <c r="G32" s="657"/>
      <c r="H32" s="657"/>
      <c r="I32" s="657"/>
      <c r="J32" s="657"/>
      <c r="K32" s="732">
        <f>+G29/C28</f>
        <v>-1.7608733932030288E-5</v>
      </c>
    </row>
    <row r="33" spans="1:10" ht="15" customHeight="1" thickBot="1">
      <c r="A33" s="357" t="s">
        <v>433</v>
      </c>
      <c r="B33" s="657"/>
      <c r="C33" s="657"/>
      <c r="D33" s="657"/>
      <c r="E33" s="657"/>
      <c r="F33" s="657"/>
      <c r="G33" s="657"/>
      <c r="H33" s="657"/>
      <c r="I33" s="657"/>
      <c r="J33" s="358" t="s">
        <v>434</v>
      </c>
    </row>
    <row r="34" spans="1:10" ht="15" customHeight="1">
      <c r="A34" s="733" t="s">
        <v>435</v>
      </c>
      <c r="B34" s="758" t="s">
        <v>436</v>
      </c>
      <c r="C34" s="759"/>
      <c r="D34" s="760"/>
      <c r="E34" s="758" t="s">
        <v>437</v>
      </c>
      <c r="F34" s="759"/>
      <c r="G34" s="760"/>
      <c r="H34" s="758" t="s">
        <v>438</v>
      </c>
      <c r="I34" s="759"/>
      <c r="J34" s="761"/>
    </row>
    <row r="35" spans="1:10" ht="15" customHeight="1">
      <c r="A35" s="757"/>
      <c r="B35" s="762" t="s">
        <v>439</v>
      </c>
      <c r="C35" s="763"/>
      <c r="D35" s="764"/>
      <c r="E35" s="762" t="s">
        <v>440</v>
      </c>
      <c r="F35" s="763"/>
      <c r="G35" s="764"/>
      <c r="H35" s="762" t="s">
        <v>441</v>
      </c>
      <c r="I35" s="763"/>
      <c r="J35" s="765"/>
    </row>
    <row r="36" spans="1:10" ht="20.100000000000001" customHeight="1">
      <c r="A36" s="734"/>
      <c r="B36" s="359" t="s">
        <v>442</v>
      </c>
      <c r="C36" s="359" t="s">
        <v>443</v>
      </c>
      <c r="D36" s="359" t="s">
        <v>444</v>
      </c>
      <c r="E36" s="359" t="s">
        <v>442</v>
      </c>
      <c r="F36" s="359" t="s">
        <v>443</v>
      </c>
      <c r="G36" s="359" t="s">
        <v>444</v>
      </c>
      <c r="H36" s="631" t="s">
        <v>442</v>
      </c>
      <c r="I36" s="359" t="s">
        <v>443</v>
      </c>
      <c r="J36" s="364" t="s">
        <v>444</v>
      </c>
    </row>
    <row r="37" spans="1:10" ht="20.100000000000001" customHeight="1">
      <c r="A37" s="633" t="s">
        <v>674</v>
      </c>
      <c r="B37" s="125">
        <f t="shared" ref="B37:B40" si="4">SUM(C37:D37)</f>
        <v>21678</v>
      </c>
      <c r="C37" s="127">
        <v>11210</v>
      </c>
      <c r="D37" s="127">
        <v>10468</v>
      </c>
      <c r="E37" s="126">
        <f t="shared" ref="E37:E45" si="5">SUM(F37:G37)</f>
        <v>73440</v>
      </c>
      <c r="F37" s="127">
        <v>36275</v>
      </c>
      <c r="G37" s="127">
        <v>37165</v>
      </c>
      <c r="H37" s="632">
        <f t="shared" ref="H37:H43" si="6">SUM(I37:J37)</f>
        <v>15167</v>
      </c>
      <c r="I37" s="401">
        <v>6626</v>
      </c>
      <c r="J37" s="570">
        <v>8541</v>
      </c>
    </row>
    <row r="38" spans="1:10" ht="20.100000000000001" customHeight="1">
      <c r="A38" s="633">
        <v>22</v>
      </c>
      <c r="B38" s="352">
        <f t="shared" si="4"/>
        <v>21673</v>
      </c>
      <c r="C38" s="127">
        <v>11221</v>
      </c>
      <c r="D38" s="127">
        <v>10452</v>
      </c>
      <c r="E38" s="127">
        <f t="shared" si="5"/>
        <v>73695</v>
      </c>
      <c r="F38" s="127">
        <v>36401</v>
      </c>
      <c r="G38" s="127">
        <v>37294</v>
      </c>
      <c r="H38" s="127">
        <f t="shared" si="6"/>
        <v>15526</v>
      </c>
      <c r="I38" s="401">
        <v>6784</v>
      </c>
      <c r="J38" s="570">
        <v>8742</v>
      </c>
    </row>
    <row r="39" spans="1:10" ht="17.100000000000001" customHeight="1">
      <c r="A39" s="633">
        <v>23</v>
      </c>
      <c r="B39" s="352">
        <f t="shared" si="4"/>
        <v>21601</v>
      </c>
      <c r="C39" s="127">
        <v>11119</v>
      </c>
      <c r="D39" s="127">
        <v>10482</v>
      </c>
      <c r="E39" s="127">
        <f t="shared" si="5"/>
        <v>74384</v>
      </c>
      <c r="F39" s="127">
        <v>36650</v>
      </c>
      <c r="G39" s="127">
        <v>37734</v>
      </c>
      <c r="H39" s="126">
        <f t="shared" si="6"/>
        <v>15478</v>
      </c>
      <c r="I39" s="401">
        <v>6755</v>
      </c>
      <c r="J39" s="570">
        <v>8723</v>
      </c>
    </row>
    <row r="40" spans="1:10" ht="17.100000000000001" customHeight="1">
      <c r="A40" s="633">
        <v>24</v>
      </c>
      <c r="B40" s="127">
        <f t="shared" si="4"/>
        <v>21691</v>
      </c>
      <c r="C40" s="127">
        <v>11139</v>
      </c>
      <c r="D40" s="127">
        <v>10552</v>
      </c>
      <c r="E40" s="127">
        <f t="shared" si="5"/>
        <v>74876</v>
      </c>
      <c r="F40" s="127">
        <v>36934</v>
      </c>
      <c r="G40" s="127">
        <v>37942</v>
      </c>
      <c r="H40" s="126">
        <f t="shared" si="6"/>
        <v>15846</v>
      </c>
      <c r="I40" s="401">
        <v>6897</v>
      </c>
      <c r="J40" s="570">
        <v>8949</v>
      </c>
    </row>
    <row r="41" spans="1:10" ht="17.100000000000001" customHeight="1">
      <c r="A41" s="633">
        <v>25</v>
      </c>
      <c r="B41" s="127">
        <f>SUM(C41:D41)</f>
        <v>21652</v>
      </c>
      <c r="C41" s="127">
        <v>11106</v>
      </c>
      <c r="D41" s="127">
        <v>10546</v>
      </c>
      <c r="E41" s="127">
        <f t="shared" si="5"/>
        <v>75290</v>
      </c>
      <c r="F41" s="127">
        <v>37184</v>
      </c>
      <c r="G41" s="127">
        <v>38106</v>
      </c>
      <c r="H41" s="126">
        <f t="shared" si="6"/>
        <v>16810</v>
      </c>
      <c r="I41" s="401">
        <v>7417</v>
      </c>
      <c r="J41" s="570">
        <v>9393</v>
      </c>
    </row>
    <row r="42" spans="1:10" ht="17.100000000000001" customHeight="1">
      <c r="A42" s="633">
        <v>26</v>
      </c>
      <c r="B42" s="352">
        <f>SUM(C42:D42)</f>
        <v>21487</v>
      </c>
      <c r="C42" s="127">
        <v>10989</v>
      </c>
      <c r="D42" s="127">
        <v>10498</v>
      </c>
      <c r="E42" s="127">
        <f t="shared" si="5"/>
        <v>74740</v>
      </c>
      <c r="F42" s="127">
        <v>36953</v>
      </c>
      <c r="G42" s="127">
        <v>37787</v>
      </c>
      <c r="H42" s="126">
        <f t="shared" si="6"/>
        <v>17666</v>
      </c>
      <c r="I42" s="401">
        <v>7789</v>
      </c>
      <c r="J42" s="570">
        <v>9877</v>
      </c>
    </row>
    <row r="43" spans="1:10" ht="17.100000000000001" customHeight="1">
      <c r="A43" s="633">
        <v>27</v>
      </c>
      <c r="B43" s="127">
        <f t="shared" ref="B43" si="7">SUM(C43:D43)</f>
        <v>21244</v>
      </c>
      <c r="C43" s="127">
        <v>10846</v>
      </c>
      <c r="D43" s="127">
        <v>10398</v>
      </c>
      <c r="E43" s="127">
        <f t="shared" si="5"/>
        <v>74167</v>
      </c>
      <c r="F43" s="127">
        <v>36590</v>
      </c>
      <c r="G43" s="127">
        <v>37577</v>
      </c>
      <c r="H43" s="126">
        <f t="shared" si="6"/>
        <v>18563</v>
      </c>
      <c r="I43" s="401">
        <v>8199</v>
      </c>
      <c r="J43" s="570">
        <v>10364</v>
      </c>
    </row>
    <row r="44" spans="1:10" ht="17.100000000000001" customHeight="1">
      <c r="A44" s="633">
        <v>28</v>
      </c>
      <c r="B44" s="352">
        <f>SUM(C44:D44)</f>
        <v>20914</v>
      </c>
      <c r="C44" s="127">
        <v>10667</v>
      </c>
      <c r="D44" s="127">
        <v>10247</v>
      </c>
      <c r="E44" s="127">
        <f t="shared" si="5"/>
        <v>73128</v>
      </c>
      <c r="F44" s="127">
        <v>36040</v>
      </c>
      <c r="G44" s="127">
        <v>37088</v>
      </c>
      <c r="H44" s="126">
        <f>SUM(I44:J44)</f>
        <v>19538</v>
      </c>
      <c r="I44" s="401">
        <v>8641</v>
      </c>
      <c r="J44" s="570">
        <v>10897</v>
      </c>
    </row>
    <row r="45" spans="1:10" ht="17.100000000000001" customHeight="1">
      <c r="A45" s="633">
        <v>29</v>
      </c>
      <c r="B45" s="127">
        <f>SUM(C45:D45)</f>
        <v>20585</v>
      </c>
      <c r="C45" s="127">
        <v>10485</v>
      </c>
      <c r="D45" s="127">
        <v>10100</v>
      </c>
      <c r="E45" s="127">
        <f t="shared" si="5"/>
        <v>72592</v>
      </c>
      <c r="F45" s="127">
        <v>35836</v>
      </c>
      <c r="G45" s="127">
        <v>36756</v>
      </c>
      <c r="H45" s="126">
        <f>SUM(I45:J45)</f>
        <v>20401</v>
      </c>
      <c r="I45" s="401">
        <v>9026</v>
      </c>
      <c r="J45" s="570">
        <v>11375</v>
      </c>
    </row>
    <row r="46" spans="1:10" ht="17.100000000000001" customHeight="1" thickBot="1">
      <c r="A46" s="658">
        <v>30</v>
      </c>
      <c r="B46" s="660">
        <f>SUM(C46:D46)</f>
        <v>20218</v>
      </c>
      <c r="C46" s="660">
        <v>10312</v>
      </c>
      <c r="D46" s="660">
        <v>9906</v>
      </c>
      <c r="E46" s="660">
        <f t="shared" ref="E46" si="8">SUM(F46:G46)</f>
        <v>71978</v>
      </c>
      <c r="F46" s="660">
        <v>35499</v>
      </c>
      <c r="G46" s="660">
        <v>36479</v>
      </c>
      <c r="H46" s="661">
        <f>SUM(I46:J46)</f>
        <v>21251</v>
      </c>
      <c r="I46" s="662">
        <v>9381</v>
      </c>
      <c r="J46" s="663">
        <v>11870</v>
      </c>
    </row>
    <row r="47" spans="1:10" ht="17.100000000000001" customHeight="1">
      <c r="A47" s="664"/>
      <c r="B47" s="657"/>
      <c r="C47" s="657"/>
      <c r="D47" s="657"/>
      <c r="E47" s="657"/>
      <c r="F47" s="657"/>
      <c r="G47" s="657"/>
      <c r="H47" s="657"/>
      <c r="I47" s="657"/>
      <c r="J47" s="358" t="s">
        <v>646</v>
      </c>
    </row>
    <row r="50" ht="15" customHeight="1"/>
  </sheetData>
  <sheetProtection sheet="1" objects="1" scenarios="1"/>
  <mergeCells count="61">
    <mergeCell ref="G25:H25"/>
    <mergeCell ref="I25:J25"/>
    <mergeCell ref="G24:H24"/>
    <mergeCell ref="G21:H21"/>
    <mergeCell ref="G22:H22"/>
    <mergeCell ref="G30:H30"/>
    <mergeCell ref="I30:J30"/>
    <mergeCell ref="G29:H29"/>
    <mergeCell ref="I29:J29"/>
    <mergeCell ref="G28:H28"/>
    <mergeCell ref="I28:J28"/>
    <mergeCell ref="A34:A36"/>
    <mergeCell ref="B34:D34"/>
    <mergeCell ref="E34:G34"/>
    <mergeCell ref="H34:J34"/>
    <mergeCell ref="B35:D35"/>
    <mergeCell ref="E35:G35"/>
    <mergeCell ref="H35:J35"/>
    <mergeCell ref="G14:H14"/>
    <mergeCell ref="G10:H10"/>
    <mergeCell ref="I10:J10"/>
    <mergeCell ref="I27:J27"/>
    <mergeCell ref="G27:H27"/>
    <mergeCell ref="I14:J14"/>
    <mergeCell ref="I22:J22"/>
    <mergeCell ref="G23:H23"/>
    <mergeCell ref="I24:J24"/>
    <mergeCell ref="G26:H26"/>
    <mergeCell ref="I21:J21"/>
    <mergeCell ref="I26:J26"/>
    <mergeCell ref="I23:J23"/>
    <mergeCell ref="I19:J19"/>
    <mergeCell ref="G15:H15"/>
    <mergeCell ref="I15:J15"/>
    <mergeCell ref="G8:H8"/>
    <mergeCell ref="I8:J8"/>
    <mergeCell ref="A19:A20"/>
    <mergeCell ref="B19:B20"/>
    <mergeCell ref="C19:E19"/>
    <mergeCell ref="G19:H19"/>
    <mergeCell ref="G20:H20"/>
    <mergeCell ref="G13:H13"/>
    <mergeCell ref="G11:H11"/>
    <mergeCell ref="G12:H12"/>
    <mergeCell ref="G9:H9"/>
    <mergeCell ref="I9:J9"/>
    <mergeCell ref="I20:J20"/>
    <mergeCell ref="I12:J12"/>
    <mergeCell ref="I11:J11"/>
    <mergeCell ref="I13:J13"/>
    <mergeCell ref="G7:H7"/>
    <mergeCell ref="I7:J7"/>
    <mergeCell ref="I4:J4"/>
    <mergeCell ref="G5:H5"/>
    <mergeCell ref="I5:J5"/>
    <mergeCell ref="A4:A5"/>
    <mergeCell ref="B4:B5"/>
    <mergeCell ref="C4:E4"/>
    <mergeCell ref="G4:H4"/>
    <mergeCell ref="I6:J6"/>
    <mergeCell ref="G6:H6"/>
  </mergeCells>
  <phoneticPr fontId="17"/>
  <printOptions horizontalCentered="1"/>
  <pageMargins left="0.59055118110236227" right="0.59055118110236227" top="0.59055118110236227" bottom="0.59055118110236227" header="0.39370078740157483" footer="0.39370078740157483"/>
  <pageSetup paperSize="9" firstPageNumber="0" orientation="portrait" verticalDpi="300" r:id="rId1"/>
  <headerFooter scaleWithDoc="0" alignWithMargins="0">
    <oddHeader>&amp;R&amp;"ＭＳ 明朝,標準"&amp;10人　口</oddHeader>
    <oddFooter>&amp;C&amp;"ＭＳ 明朝,標準"&amp;12&amp;A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H65536"/>
  <sheetViews>
    <sheetView view="pageBreakPreview" zoomScaleNormal="120" zoomScaleSheetLayoutView="100" workbookViewId="0">
      <selection activeCell="I4" sqref="I4"/>
    </sheetView>
  </sheetViews>
  <sheetFormatPr defaultRowHeight="15" customHeight="1"/>
  <cols>
    <col min="1" max="1" width="12.25" style="5" customWidth="1"/>
    <col min="2" max="7" width="13.25" style="5" customWidth="1"/>
    <col min="8" max="8" width="11.125" style="5" hidden="1" customWidth="1"/>
    <col min="9" max="16384" width="9" style="5"/>
  </cols>
  <sheetData>
    <row r="1" spans="1:8" ht="5.0999999999999996" customHeight="1">
      <c r="A1" s="58"/>
      <c r="B1" s="882"/>
      <c r="C1" s="882"/>
      <c r="D1" s="882"/>
      <c r="E1" s="882"/>
      <c r="F1" s="882"/>
      <c r="G1" s="882"/>
    </row>
    <row r="2" spans="1:8" ht="15" customHeight="1">
      <c r="A2" s="58" t="s">
        <v>276</v>
      </c>
      <c r="B2" s="41"/>
      <c r="C2" s="41"/>
      <c r="D2" s="41"/>
      <c r="E2" s="41"/>
      <c r="F2" s="41"/>
      <c r="G2" s="41"/>
    </row>
    <row r="3" spans="1:8" ht="5.0999999999999996" customHeight="1">
      <c r="A3" s="58"/>
      <c r="B3" s="41"/>
      <c r="C3" s="41"/>
      <c r="D3" s="41"/>
      <c r="E3" s="41"/>
      <c r="F3" s="41"/>
      <c r="G3" s="41"/>
    </row>
    <row r="4" spans="1:8" s="59" customFormat="1" ht="129.94999999999999" customHeight="1">
      <c r="A4" s="881" t="s">
        <v>654</v>
      </c>
      <c r="B4" s="881"/>
      <c r="C4" s="881"/>
      <c r="D4" s="881"/>
      <c r="E4" s="881"/>
      <c r="F4" s="881"/>
      <c r="G4" s="881"/>
    </row>
    <row r="6" spans="1:8" ht="15" customHeight="1" thickBot="1">
      <c r="A6" s="13" t="s">
        <v>277</v>
      </c>
      <c r="G6" s="7" t="s">
        <v>10</v>
      </c>
    </row>
    <row r="7" spans="1:8" ht="20.100000000000001" customHeight="1">
      <c r="A7" s="858" t="s">
        <v>11</v>
      </c>
      <c r="B7" s="859" t="s">
        <v>246</v>
      </c>
      <c r="C7" s="875" t="s">
        <v>278</v>
      </c>
      <c r="D7" s="875"/>
      <c r="E7" s="875"/>
      <c r="F7" s="893" t="s">
        <v>279</v>
      </c>
      <c r="G7" s="139" t="s">
        <v>280</v>
      </c>
    </row>
    <row r="8" spans="1:8" ht="20.100000000000001" customHeight="1">
      <c r="A8" s="860"/>
      <c r="B8" s="861"/>
      <c r="C8" s="838"/>
      <c r="D8" s="838"/>
      <c r="E8" s="838"/>
      <c r="F8" s="894"/>
      <c r="G8" s="171" t="s">
        <v>281</v>
      </c>
    </row>
    <row r="9" spans="1:8" ht="20.100000000000001" customHeight="1">
      <c r="A9" s="860"/>
      <c r="B9" s="861"/>
      <c r="C9" s="10" t="s">
        <v>82</v>
      </c>
      <c r="D9" s="10" t="s">
        <v>15</v>
      </c>
      <c r="E9" s="10" t="s">
        <v>16</v>
      </c>
      <c r="F9" s="894"/>
      <c r="G9" s="128" t="s">
        <v>282</v>
      </c>
    </row>
    <row r="10" spans="1:8" ht="15" customHeight="1">
      <c r="A10" s="511"/>
      <c r="B10" s="510"/>
      <c r="C10" s="63"/>
      <c r="D10" s="63"/>
      <c r="E10" s="64"/>
      <c r="F10" s="46"/>
      <c r="G10" s="173"/>
    </row>
    <row r="11" spans="1:8" ht="18" customHeight="1">
      <c r="A11" s="174" t="s">
        <v>611</v>
      </c>
      <c r="B11" s="510">
        <v>2402</v>
      </c>
      <c r="C11" s="63">
        <f>D11+E11</f>
        <v>11369</v>
      </c>
      <c r="D11" s="63">
        <v>5480</v>
      </c>
      <c r="E11" s="64">
        <v>5889</v>
      </c>
      <c r="F11" s="46">
        <f>C11/B11</f>
        <v>4.7331390507910074</v>
      </c>
      <c r="G11" s="173">
        <v>0.93</v>
      </c>
      <c r="H11" s="273"/>
    </row>
    <row r="12" spans="1:8" ht="15" customHeight="1">
      <c r="A12" s="174"/>
      <c r="B12" s="510"/>
      <c r="C12" s="63"/>
      <c r="D12" s="63"/>
      <c r="E12" s="64"/>
      <c r="F12" s="46"/>
      <c r="G12" s="173"/>
    </row>
    <row r="13" spans="1:8" ht="18" customHeight="1">
      <c r="A13" s="174">
        <v>15</v>
      </c>
      <c r="B13" s="510">
        <v>2323</v>
      </c>
      <c r="C13" s="63">
        <f>D13+E13</f>
        <v>11084</v>
      </c>
      <c r="D13" s="63">
        <v>5315</v>
      </c>
      <c r="E13" s="64">
        <v>5769</v>
      </c>
      <c r="F13" s="46">
        <f>C13/B13</f>
        <v>4.7714162720619884</v>
      </c>
      <c r="G13" s="173">
        <v>-2.5099999999999998</v>
      </c>
      <c r="H13" s="273">
        <f>(C13/C11)-1</f>
        <v>-2.5068167824786713E-2</v>
      </c>
    </row>
    <row r="14" spans="1:8" ht="15" customHeight="1">
      <c r="A14" s="174"/>
      <c r="B14" s="510"/>
      <c r="C14" s="63"/>
      <c r="D14" s="63"/>
      <c r="E14" s="64"/>
      <c r="F14" s="46"/>
      <c r="G14" s="173"/>
    </row>
    <row r="15" spans="1:8" ht="18" customHeight="1">
      <c r="A15" s="174">
        <v>20</v>
      </c>
      <c r="B15" s="65" t="s">
        <v>283</v>
      </c>
      <c r="C15" s="64" t="s">
        <v>283</v>
      </c>
      <c r="D15" s="64" t="s">
        <v>283</v>
      </c>
      <c r="E15" s="64" t="s">
        <v>283</v>
      </c>
      <c r="F15" s="46" t="s">
        <v>283</v>
      </c>
      <c r="G15" s="173" t="s">
        <v>283</v>
      </c>
      <c r="H15" s="273" t="e">
        <f>(C15/C13)-1</f>
        <v>#VALUE!</v>
      </c>
    </row>
    <row r="16" spans="1:8" ht="15" customHeight="1">
      <c r="A16" s="174"/>
      <c r="B16" s="510"/>
      <c r="C16" s="63"/>
      <c r="D16" s="63"/>
      <c r="E16" s="64"/>
      <c r="F16" s="46"/>
      <c r="G16" s="173"/>
    </row>
    <row r="17" spans="1:8" ht="18" customHeight="1">
      <c r="A17" s="174">
        <v>25</v>
      </c>
      <c r="B17" s="65" t="s">
        <v>283</v>
      </c>
      <c r="C17" s="63">
        <f>D17+E17</f>
        <v>11910</v>
      </c>
      <c r="D17" s="63">
        <v>5862</v>
      </c>
      <c r="E17" s="64">
        <v>6048</v>
      </c>
      <c r="F17" s="46" t="s">
        <v>283</v>
      </c>
      <c r="G17" s="173">
        <v>7.45</v>
      </c>
    </row>
    <row r="18" spans="1:8" ht="15" customHeight="1">
      <c r="A18" s="174"/>
      <c r="B18" s="512"/>
      <c r="C18" s="63"/>
      <c r="D18" s="63"/>
      <c r="E18" s="64"/>
      <c r="F18" s="66"/>
      <c r="G18" s="173"/>
    </row>
    <row r="19" spans="1:8" ht="18" customHeight="1">
      <c r="A19" s="174">
        <v>30</v>
      </c>
      <c r="B19" s="512">
        <v>4329</v>
      </c>
      <c r="C19" s="63">
        <f>D19+E19</f>
        <v>18832</v>
      </c>
      <c r="D19" s="63">
        <v>9146</v>
      </c>
      <c r="E19" s="64">
        <v>9686</v>
      </c>
      <c r="F19" s="46">
        <f>C19/B19</f>
        <v>4.3501963501963505</v>
      </c>
      <c r="G19" s="173">
        <v>58.12</v>
      </c>
      <c r="H19" s="272"/>
    </row>
    <row r="20" spans="1:8" ht="15" customHeight="1">
      <c r="A20" s="174"/>
      <c r="B20" s="510"/>
      <c r="C20" s="63"/>
      <c r="D20" s="63"/>
      <c r="E20" s="64"/>
      <c r="F20" s="46"/>
      <c r="G20" s="173"/>
      <c r="H20" s="272"/>
    </row>
    <row r="21" spans="1:8" ht="18" customHeight="1">
      <c r="A21" s="174">
        <v>35</v>
      </c>
      <c r="B21" s="510">
        <v>6134</v>
      </c>
      <c r="C21" s="63">
        <f>D21+E21</f>
        <v>24512</v>
      </c>
      <c r="D21" s="63">
        <v>11789</v>
      </c>
      <c r="E21" s="64">
        <v>12723</v>
      </c>
      <c r="F21" s="46">
        <f>C21/B21</f>
        <v>3.9960873818063254</v>
      </c>
      <c r="G21" s="173">
        <v>30.16</v>
      </c>
      <c r="H21" s="273">
        <f>(C21/C19)-1</f>
        <v>0.3016142735768903</v>
      </c>
    </row>
    <row r="22" spans="1:8" ht="15" customHeight="1">
      <c r="A22" s="174"/>
      <c r="B22" s="510"/>
      <c r="C22" s="63"/>
      <c r="D22" s="63"/>
      <c r="E22" s="64"/>
      <c r="F22" s="46"/>
      <c r="G22" s="173"/>
      <c r="H22" s="272"/>
    </row>
    <row r="23" spans="1:8" ht="18" customHeight="1">
      <c r="A23" s="174">
        <v>40</v>
      </c>
      <c r="B23" s="510">
        <v>7266</v>
      </c>
      <c r="C23" s="63">
        <f>D23+E23</f>
        <v>30821</v>
      </c>
      <c r="D23" s="63">
        <v>14891</v>
      </c>
      <c r="E23" s="64">
        <v>15930</v>
      </c>
      <c r="F23" s="46">
        <f>C23/B23</f>
        <v>4.2418111753371868</v>
      </c>
      <c r="G23" s="173">
        <v>25.74</v>
      </c>
      <c r="H23" s="273">
        <f>(C23/C21)-1</f>
        <v>0.257384138381201</v>
      </c>
    </row>
    <row r="24" spans="1:8" ht="15" customHeight="1">
      <c r="A24" s="174"/>
      <c r="B24" s="510"/>
      <c r="C24" s="63"/>
      <c r="D24" s="63"/>
      <c r="E24" s="64"/>
      <c r="F24" s="46"/>
      <c r="G24" s="173"/>
      <c r="H24" s="272"/>
    </row>
    <row r="25" spans="1:8" ht="18" customHeight="1">
      <c r="A25" s="174">
        <v>45</v>
      </c>
      <c r="B25" s="510">
        <v>10085</v>
      </c>
      <c r="C25" s="63">
        <f>D25+E25</f>
        <v>41768</v>
      </c>
      <c r="D25" s="63">
        <v>20362</v>
      </c>
      <c r="E25" s="64">
        <v>21406</v>
      </c>
      <c r="F25" s="46">
        <f>C25/B25</f>
        <v>4.1415964303420925</v>
      </c>
      <c r="G25" s="173">
        <v>35.520000000000003</v>
      </c>
      <c r="H25" s="273">
        <f>(C25/C23)-1</f>
        <v>0.35517990980175851</v>
      </c>
    </row>
    <row r="26" spans="1:8" ht="15" customHeight="1">
      <c r="A26" s="174"/>
      <c r="B26" s="510"/>
      <c r="C26" s="63"/>
      <c r="D26" s="63"/>
      <c r="E26" s="64"/>
      <c r="F26" s="46"/>
      <c r="G26" s="173"/>
      <c r="H26" s="272"/>
    </row>
    <row r="27" spans="1:8" ht="18" customHeight="1">
      <c r="A27" s="174">
        <v>50</v>
      </c>
      <c r="B27" s="510">
        <v>15063</v>
      </c>
      <c r="C27" s="63">
        <f>D27+E27</f>
        <v>59289</v>
      </c>
      <c r="D27" s="63">
        <v>29382</v>
      </c>
      <c r="E27" s="64">
        <v>29907</v>
      </c>
      <c r="F27" s="46">
        <f>C27/B27</f>
        <v>3.9360685122485561</v>
      </c>
      <c r="G27" s="173">
        <v>41.95</v>
      </c>
      <c r="H27" s="273">
        <f>(C27/C25)-1</f>
        <v>0.41948381536104185</v>
      </c>
    </row>
    <row r="28" spans="1:8" ht="15" customHeight="1">
      <c r="A28" s="174"/>
      <c r="B28" s="510"/>
      <c r="C28" s="63"/>
      <c r="D28" s="63"/>
      <c r="E28" s="64"/>
      <c r="F28" s="46"/>
      <c r="G28" s="173"/>
      <c r="H28" s="272"/>
    </row>
    <row r="29" spans="1:8" ht="18" customHeight="1">
      <c r="A29" s="174">
        <v>55</v>
      </c>
      <c r="B29" s="510">
        <v>19112</v>
      </c>
      <c r="C29" s="63">
        <f>D29+E29</f>
        <v>70282</v>
      </c>
      <c r="D29" s="63">
        <v>34773</v>
      </c>
      <c r="E29" s="64">
        <v>35509</v>
      </c>
      <c r="F29" s="46">
        <f>C29/B29</f>
        <v>3.6773754709083297</v>
      </c>
      <c r="G29" s="173">
        <v>18.54</v>
      </c>
      <c r="H29" s="273">
        <f>(C29/C27)-1</f>
        <v>0.18541382043886734</v>
      </c>
    </row>
    <row r="30" spans="1:8" ht="15" customHeight="1">
      <c r="A30" s="174"/>
      <c r="B30" s="510"/>
      <c r="C30" s="63"/>
      <c r="D30" s="63"/>
      <c r="E30" s="64"/>
      <c r="F30" s="46"/>
      <c r="G30" s="173"/>
      <c r="H30" s="272"/>
    </row>
    <row r="31" spans="1:8" ht="18" customHeight="1">
      <c r="A31" s="174">
        <v>60</v>
      </c>
      <c r="B31" s="510">
        <v>23579</v>
      </c>
      <c r="C31" s="63">
        <f>D31+E31</f>
        <v>81611</v>
      </c>
      <c r="D31" s="63">
        <v>40547</v>
      </c>
      <c r="E31" s="64">
        <v>41064</v>
      </c>
      <c r="F31" s="46">
        <f>C31/B31</f>
        <v>3.4611730777386658</v>
      </c>
      <c r="G31" s="173">
        <v>16.12</v>
      </c>
      <c r="H31" s="273">
        <f>(C31/C29)-1</f>
        <v>0.16119347770410641</v>
      </c>
    </row>
    <row r="32" spans="1:8" ht="15" customHeight="1">
      <c r="A32" s="175"/>
      <c r="B32" s="510"/>
      <c r="C32" s="63"/>
      <c r="D32" s="63"/>
      <c r="E32" s="64"/>
      <c r="F32" s="46"/>
      <c r="G32" s="173"/>
      <c r="H32" s="272"/>
    </row>
    <row r="33" spans="1:8" ht="18" customHeight="1">
      <c r="A33" s="175" t="s">
        <v>284</v>
      </c>
      <c r="B33" s="510">
        <v>27749</v>
      </c>
      <c r="C33" s="63">
        <f>D33+E33</f>
        <v>89994</v>
      </c>
      <c r="D33" s="63">
        <v>44316</v>
      </c>
      <c r="E33" s="64">
        <v>45678</v>
      </c>
      <c r="F33" s="46">
        <f>C33/B33</f>
        <v>3.2431438970773723</v>
      </c>
      <c r="G33" s="173">
        <v>10.27</v>
      </c>
      <c r="H33" s="273">
        <f>(C33/C31)-1</f>
        <v>0.10271899621374581</v>
      </c>
    </row>
    <row r="34" spans="1:8" ht="15" customHeight="1">
      <c r="A34" s="175"/>
      <c r="B34" s="510"/>
      <c r="C34" s="63"/>
      <c r="D34" s="63"/>
      <c r="E34" s="64"/>
      <c r="F34" s="46"/>
      <c r="G34" s="173"/>
      <c r="H34" s="272"/>
    </row>
    <row r="35" spans="1:8" ht="18" customHeight="1">
      <c r="A35" s="175" t="s">
        <v>40</v>
      </c>
      <c r="B35" s="510">
        <v>31445</v>
      </c>
      <c r="C35" s="63">
        <f>D35+E35</f>
        <v>96002</v>
      </c>
      <c r="D35" s="63">
        <v>47360</v>
      </c>
      <c r="E35" s="64">
        <v>48642</v>
      </c>
      <c r="F35" s="46">
        <f>C35/B35</f>
        <v>3.0530131976466848</v>
      </c>
      <c r="G35" s="173">
        <v>6.68</v>
      </c>
      <c r="H35" s="273">
        <f>(C35/C33)-1</f>
        <v>6.6760006222637003E-2</v>
      </c>
    </row>
    <row r="36" spans="1:8" ht="15" customHeight="1">
      <c r="A36" s="511"/>
      <c r="B36" s="510"/>
      <c r="C36" s="63"/>
      <c r="D36" s="63"/>
      <c r="E36" s="64"/>
      <c r="F36" s="46"/>
      <c r="G36" s="173"/>
      <c r="H36" s="272"/>
    </row>
    <row r="37" spans="1:8" ht="18" customHeight="1">
      <c r="A37" s="175" t="s">
        <v>285</v>
      </c>
      <c r="B37" s="510">
        <v>35884</v>
      </c>
      <c r="C37" s="63">
        <f>D37+E37</f>
        <v>102734</v>
      </c>
      <c r="D37" s="63">
        <v>50440</v>
      </c>
      <c r="E37" s="64">
        <v>52294</v>
      </c>
      <c r="F37" s="46">
        <f>C37/B37</f>
        <v>2.862947274551332</v>
      </c>
      <c r="G37" s="173">
        <v>7.01</v>
      </c>
      <c r="H37" s="273">
        <f>(C37/C35)-1</f>
        <v>7.0123539092935561E-2</v>
      </c>
    </row>
    <row r="38" spans="1:8" ht="15" customHeight="1">
      <c r="A38" s="175"/>
      <c r="B38" s="510"/>
      <c r="C38" s="63"/>
      <c r="D38" s="63"/>
      <c r="E38" s="64"/>
      <c r="F38" s="46"/>
      <c r="G38" s="173"/>
      <c r="H38" s="272"/>
    </row>
    <row r="39" spans="1:8" ht="18" customHeight="1">
      <c r="A39" s="175" t="s">
        <v>286</v>
      </c>
      <c r="B39" s="510">
        <v>38314</v>
      </c>
      <c r="C39" s="63">
        <f>D39+E39</f>
        <v>106049</v>
      </c>
      <c r="D39" s="63">
        <v>52128</v>
      </c>
      <c r="E39" s="64">
        <v>53921</v>
      </c>
      <c r="F39" s="46">
        <f>C39/B39</f>
        <v>2.7678916323015086</v>
      </c>
      <c r="G39" s="173">
        <v>3.23</v>
      </c>
      <c r="H39" s="273">
        <f>(C39/C37)-1</f>
        <v>3.2267798391963698E-2</v>
      </c>
    </row>
    <row r="40" spans="1:8" ht="15" customHeight="1">
      <c r="A40" s="511"/>
      <c r="B40" s="510"/>
      <c r="C40" s="63"/>
      <c r="D40" s="63"/>
      <c r="E40" s="64"/>
      <c r="F40" s="46"/>
      <c r="G40" s="173"/>
      <c r="H40" s="272"/>
    </row>
    <row r="41" spans="1:8" ht="18" customHeight="1">
      <c r="A41" s="175" t="s">
        <v>287</v>
      </c>
      <c r="B41" s="510">
        <v>40927</v>
      </c>
      <c r="C41" s="509">
        <f>D41+E41</f>
        <v>110351</v>
      </c>
      <c r="D41" s="509">
        <v>53948</v>
      </c>
      <c r="E41" s="64">
        <v>56403</v>
      </c>
      <c r="F41" s="46">
        <f>C41/B41</f>
        <v>2.6962885136951158</v>
      </c>
      <c r="G41" s="518">
        <v>4.0599999999999996</v>
      </c>
      <c r="H41" s="273">
        <f>(C41/C39)-1</f>
        <v>4.0566153381927261E-2</v>
      </c>
    </row>
    <row r="42" spans="1:8" ht="15" customHeight="1">
      <c r="A42" s="130"/>
      <c r="B42" s="62"/>
      <c r="C42" s="63"/>
      <c r="D42" s="63"/>
      <c r="E42" s="64"/>
      <c r="F42" s="46"/>
      <c r="G42" s="173"/>
    </row>
    <row r="43" spans="1:8" ht="18" customHeight="1" thickBot="1">
      <c r="A43" s="404" t="s">
        <v>612</v>
      </c>
      <c r="B43" s="405">
        <v>44041</v>
      </c>
      <c r="C43" s="406">
        <v>114232</v>
      </c>
      <c r="D43" s="406">
        <v>55471</v>
      </c>
      <c r="E43" s="407">
        <v>58761</v>
      </c>
      <c r="F43" s="408">
        <f>C43/B43</f>
        <v>2.593764900887809</v>
      </c>
      <c r="G43" s="409">
        <v>3.52</v>
      </c>
      <c r="H43" s="273">
        <f>(C43/C41)-1</f>
        <v>3.5169595200768455E-2</v>
      </c>
    </row>
    <row r="44" spans="1:8" ht="15" customHeight="1">
      <c r="A44" s="5" t="s">
        <v>288</v>
      </c>
      <c r="G44" s="7" t="s">
        <v>613</v>
      </c>
    </row>
    <row r="65536" ht="16.5" customHeight="1"/>
  </sheetData>
  <sheetProtection sheet="1" objects="1" scenarios="1"/>
  <mergeCells count="6">
    <mergeCell ref="B1:G1"/>
    <mergeCell ref="A4:G4"/>
    <mergeCell ref="A7:A9"/>
    <mergeCell ref="B7:B9"/>
    <mergeCell ref="C7:E8"/>
    <mergeCell ref="F7:F9"/>
  </mergeCells>
  <phoneticPr fontId="17"/>
  <printOptions horizontalCentered="1"/>
  <pageMargins left="0.59055118110236227" right="0.59055118110236227" top="0.59055118110236227" bottom="0.59055118110236227" header="0.39370078740157483" footer="0.39370078740157483"/>
  <pageSetup paperSize="9" firstPageNumber="0" orientation="portrait" verticalDpi="300" r:id="rId1"/>
  <headerFooter scaleWithDoc="0" alignWithMargins="0">
    <oddHeader>&amp;L&amp;"ＭＳ 明朝,標準"&amp;10人　口</oddHeader>
    <oddFooter>&amp;C&amp;"ＭＳ 明朝,標準"&amp;12&amp;A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M48"/>
  <sheetViews>
    <sheetView view="pageBreakPreview" zoomScaleNormal="120" zoomScaleSheetLayoutView="100" workbookViewId="0">
      <pane ySplit="4" topLeftCell="A5" activePane="bottomLeft" state="frozen"/>
      <selection activeCell="A6" sqref="A6"/>
      <selection pane="bottomLeft" activeCell="A6" sqref="A6"/>
    </sheetView>
  </sheetViews>
  <sheetFormatPr defaultRowHeight="17.100000000000001" customHeight="1"/>
  <cols>
    <col min="1" max="1" width="8.625" style="1" customWidth="1"/>
    <col min="2" max="2" width="8.125" style="1" customWidth="1"/>
    <col min="3" max="6" width="8" style="1" customWidth="1"/>
    <col min="7" max="8" width="6.875" style="1" customWidth="1"/>
    <col min="9" max="10" width="8" style="1" customWidth="1"/>
    <col min="11" max="12" width="6.875" style="1" customWidth="1"/>
  </cols>
  <sheetData>
    <row r="1" spans="1:13" ht="5.0999999999999996" customHeight="1">
      <c r="A1" s="5"/>
      <c r="B1" s="6"/>
      <c r="C1" s="6"/>
      <c r="D1" s="6"/>
      <c r="E1" s="6"/>
      <c r="F1" s="6"/>
      <c r="G1" s="6"/>
      <c r="H1" s="6"/>
      <c r="I1" s="6"/>
      <c r="J1" s="6"/>
      <c r="K1" s="6"/>
      <c r="L1" s="7"/>
      <c r="M1" s="6"/>
    </row>
    <row r="2" spans="1:13" ht="15" customHeight="1" thickBot="1">
      <c r="A2" s="5" t="s">
        <v>289</v>
      </c>
      <c r="B2" s="6"/>
      <c r="C2" s="6"/>
      <c r="D2" s="6"/>
      <c r="E2" s="6"/>
      <c r="F2" s="6"/>
      <c r="G2" s="6"/>
      <c r="H2" s="6"/>
      <c r="I2" s="6"/>
      <c r="J2" s="6"/>
      <c r="K2" s="6"/>
      <c r="L2" s="7" t="s">
        <v>290</v>
      </c>
      <c r="M2" s="6"/>
    </row>
    <row r="3" spans="1:13" ht="21" customHeight="1">
      <c r="A3" s="858" t="s">
        <v>459</v>
      </c>
      <c r="B3" s="859" t="s">
        <v>460</v>
      </c>
      <c r="C3" s="859"/>
      <c r="D3" s="859"/>
      <c r="E3" s="859" t="s">
        <v>15</v>
      </c>
      <c r="F3" s="859"/>
      <c r="G3" s="859"/>
      <c r="H3" s="859"/>
      <c r="I3" s="859" t="s">
        <v>16</v>
      </c>
      <c r="J3" s="859"/>
      <c r="K3" s="859"/>
      <c r="L3" s="906"/>
      <c r="M3" s="20"/>
    </row>
    <row r="4" spans="1:13" ht="21" customHeight="1">
      <c r="A4" s="860"/>
      <c r="B4" s="10" t="s">
        <v>452</v>
      </c>
      <c r="C4" s="10" t="s">
        <v>15</v>
      </c>
      <c r="D4" s="10" t="s">
        <v>16</v>
      </c>
      <c r="E4" s="10" t="s">
        <v>453</v>
      </c>
      <c r="F4" s="10" t="s">
        <v>291</v>
      </c>
      <c r="G4" s="10" t="s">
        <v>454</v>
      </c>
      <c r="H4" s="10" t="s">
        <v>455</v>
      </c>
      <c r="I4" s="10" t="s">
        <v>453</v>
      </c>
      <c r="J4" s="10" t="s">
        <v>291</v>
      </c>
      <c r="K4" s="10" t="s">
        <v>454</v>
      </c>
      <c r="L4" s="152" t="s">
        <v>456</v>
      </c>
      <c r="M4" s="20"/>
    </row>
    <row r="5" spans="1:13" ht="17.100000000000001" customHeight="1">
      <c r="A5" s="177" t="s">
        <v>19</v>
      </c>
      <c r="B5" s="284">
        <f t="shared" ref="B5:L5" si="0">SUM(B6:B13)</f>
        <v>84512</v>
      </c>
      <c r="C5" s="285">
        <f t="shared" si="0"/>
        <v>40915</v>
      </c>
      <c r="D5" s="285">
        <f t="shared" si="0"/>
        <v>43597</v>
      </c>
      <c r="E5" s="285">
        <f t="shared" si="0"/>
        <v>14444</v>
      </c>
      <c r="F5" s="285">
        <f t="shared" si="0"/>
        <v>23347</v>
      </c>
      <c r="G5" s="285">
        <f t="shared" si="0"/>
        <v>694</v>
      </c>
      <c r="H5" s="285">
        <f t="shared" si="0"/>
        <v>1644</v>
      </c>
      <c r="I5" s="285">
        <f t="shared" si="0"/>
        <v>12212</v>
      </c>
      <c r="J5" s="285">
        <f t="shared" si="0"/>
        <v>23640</v>
      </c>
      <c r="K5" s="285">
        <f t="shared" si="0"/>
        <v>3400</v>
      </c>
      <c r="L5" s="286">
        <f t="shared" si="0"/>
        <v>3673</v>
      </c>
      <c r="M5" s="20"/>
    </row>
    <row r="6" spans="1:13" ht="17.100000000000001" customHeight="1">
      <c r="A6" s="177" t="s">
        <v>292</v>
      </c>
      <c r="B6" s="284">
        <f t="shared" ref="B6:B13" si="1">C6+D6</f>
        <v>6800</v>
      </c>
      <c r="C6" s="285">
        <v>3479</v>
      </c>
      <c r="D6" s="285">
        <v>3321</v>
      </c>
      <c r="E6" s="285">
        <v>3458</v>
      </c>
      <c r="F6" s="285">
        <v>21</v>
      </c>
      <c r="G6" s="300" t="s">
        <v>143</v>
      </c>
      <c r="H6" s="300" t="s">
        <v>143</v>
      </c>
      <c r="I6" s="285">
        <v>3291</v>
      </c>
      <c r="J6" s="285">
        <v>26</v>
      </c>
      <c r="K6" s="300" t="s">
        <v>143</v>
      </c>
      <c r="L6" s="286">
        <v>4</v>
      </c>
      <c r="M6" s="20"/>
    </row>
    <row r="7" spans="1:13" ht="17.100000000000001" customHeight="1">
      <c r="A7" s="177" t="s">
        <v>293</v>
      </c>
      <c r="B7" s="284">
        <f t="shared" si="1"/>
        <v>6455</v>
      </c>
      <c r="C7" s="285">
        <v>3196</v>
      </c>
      <c r="D7" s="285">
        <v>3259</v>
      </c>
      <c r="E7" s="285">
        <v>2871</v>
      </c>
      <c r="F7" s="285">
        <v>309</v>
      </c>
      <c r="G7" s="285">
        <v>2</v>
      </c>
      <c r="H7" s="285">
        <v>14</v>
      </c>
      <c r="I7" s="285">
        <v>2740</v>
      </c>
      <c r="J7" s="285">
        <v>476</v>
      </c>
      <c r="K7" s="285">
        <v>1</v>
      </c>
      <c r="L7" s="286">
        <v>39</v>
      </c>
      <c r="M7" s="20"/>
    </row>
    <row r="8" spans="1:13" ht="17.100000000000001" customHeight="1">
      <c r="A8" s="177" t="s">
        <v>294</v>
      </c>
      <c r="B8" s="284">
        <f t="shared" si="1"/>
        <v>7699</v>
      </c>
      <c r="C8" s="285">
        <v>3739</v>
      </c>
      <c r="D8" s="285">
        <v>3960</v>
      </c>
      <c r="E8" s="285">
        <v>2403</v>
      </c>
      <c r="F8" s="285">
        <v>1281</v>
      </c>
      <c r="G8" s="285">
        <v>1</v>
      </c>
      <c r="H8" s="285">
        <v>53</v>
      </c>
      <c r="I8" s="285">
        <v>2159</v>
      </c>
      <c r="J8" s="285">
        <v>1628</v>
      </c>
      <c r="K8" s="285">
        <v>3</v>
      </c>
      <c r="L8" s="286">
        <v>154</v>
      </c>
      <c r="M8" s="20"/>
    </row>
    <row r="9" spans="1:13" ht="17.100000000000001" customHeight="1">
      <c r="A9" s="177" t="s">
        <v>295</v>
      </c>
      <c r="B9" s="284">
        <f t="shared" si="1"/>
        <v>9498</v>
      </c>
      <c r="C9" s="285">
        <v>4660</v>
      </c>
      <c r="D9" s="285">
        <v>4838</v>
      </c>
      <c r="E9" s="285">
        <v>1955</v>
      </c>
      <c r="F9" s="285">
        <v>2581</v>
      </c>
      <c r="G9" s="285">
        <v>2</v>
      </c>
      <c r="H9" s="285">
        <v>120</v>
      </c>
      <c r="I9" s="285">
        <v>1468</v>
      </c>
      <c r="J9" s="285">
        <v>3056</v>
      </c>
      <c r="K9" s="285">
        <v>8</v>
      </c>
      <c r="L9" s="286">
        <v>288</v>
      </c>
      <c r="M9" s="20"/>
    </row>
    <row r="10" spans="1:13" ht="17.100000000000001" customHeight="1">
      <c r="A10" s="177" t="s">
        <v>296</v>
      </c>
      <c r="B10" s="284">
        <f t="shared" si="1"/>
        <v>15925</v>
      </c>
      <c r="C10" s="285">
        <f>4053+3688</f>
        <v>7741</v>
      </c>
      <c r="D10" s="285">
        <f>4345+3839</f>
        <v>8184</v>
      </c>
      <c r="E10" s="285">
        <f>1058+714</f>
        <v>1772</v>
      </c>
      <c r="F10" s="285">
        <f>2683+2677</f>
        <v>5360</v>
      </c>
      <c r="G10" s="285">
        <v>10</v>
      </c>
      <c r="H10" s="285">
        <f>148+180</f>
        <v>328</v>
      </c>
      <c r="I10" s="285">
        <f>815+527</f>
        <v>1342</v>
      </c>
      <c r="J10" s="285">
        <f>3040+2736</f>
        <v>5776</v>
      </c>
      <c r="K10" s="285">
        <v>43</v>
      </c>
      <c r="L10" s="286">
        <v>841</v>
      </c>
      <c r="M10" s="20"/>
    </row>
    <row r="11" spans="1:13" ht="17.100000000000001" customHeight="1">
      <c r="A11" s="177" t="s">
        <v>297</v>
      </c>
      <c r="B11" s="284">
        <f t="shared" si="1"/>
        <v>14281</v>
      </c>
      <c r="C11" s="285">
        <f>3527+3596</f>
        <v>7123</v>
      </c>
      <c r="D11" s="285">
        <f>3430+3728</f>
        <v>7158</v>
      </c>
      <c r="E11" s="285">
        <f>692+559</f>
        <v>1251</v>
      </c>
      <c r="F11" s="285">
        <f>2451+2637</f>
        <v>5088</v>
      </c>
      <c r="G11" s="285">
        <f>14+34</f>
        <v>48</v>
      </c>
      <c r="H11" s="285">
        <f>244+238</f>
        <v>482</v>
      </c>
      <c r="I11" s="285">
        <f>334+304</f>
        <v>638</v>
      </c>
      <c r="J11" s="285">
        <f>2432+2679</f>
        <v>5111</v>
      </c>
      <c r="K11" s="285">
        <f>86+129</f>
        <v>215</v>
      </c>
      <c r="L11" s="286">
        <v>1066</v>
      </c>
      <c r="M11" s="20"/>
    </row>
    <row r="12" spans="1:13" ht="17.100000000000001" customHeight="1">
      <c r="A12" s="177" t="s">
        <v>298</v>
      </c>
      <c r="B12" s="284">
        <f t="shared" si="1"/>
        <v>10685</v>
      </c>
      <c r="C12" s="285">
        <f>3086+2202</f>
        <v>5288</v>
      </c>
      <c r="D12" s="285">
        <f>3051+2346</f>
        <v>5397</v>
      </c>
      <c r="E12" s="285">
        <f>355+165</f>
        <v>520</v>
      </c>
      <c r="F12" s="285">
        <f>2358+1782</f>
        <v>4140</v>
      </c>
      <c r="G12" s="285">
        <f>44+49</f>
        <v>93</v>
      </c>
      <c r="H12" s="285">
        <f>245+154</f>
        <v>399</v>
      </c>
      <c r="I12" s="285">
        <f>217+112</f>
        <v>329</v>
      </c>
      <c r="J12" s="285">
        <f>2184+1694</f>
        <v>3878</v>
      </c>
      <c r="K12" s="285">
        <f>165+245</f>
        <v>410</v>
      </c>
      <c r="L12" s="286">
        <v>672</v>
      </c>
      <c r="M12" s="20"/>
    </row>
    <row r="13" spans="1:13" ht="17.100000000000001" customHeight="1">
      <c r="A13" s="177" t="s">
        <v>299</v>
      </c>
      <c r="B13" s="284">
        <f t="shared" si="1"/>
        <v>13169</v>
      </c>
      <c r="C13" s="285">
        <v>5689</v>
      </c>
      <c r="D13" s="285">
        <v>7480</v>
      </c>
      <c r="E13" s="285">
        <v>214</v>
      </c>
      <c r="F13" s="285">
        <v>4567</v>
      </c>
      <c r="G13" s="285">
        <v>538</v>
      </c>
      <c r="H13" s="285">
        <v>248</v>
      </c>
      <c r="I13" s="285">
        <v>245</v>
      </c>
      <c r="J13" s="285">
        <v>3689</v>
      </c>
      <c r="K13" s="285">
        <v>2720</v>
      </c>
      <c r="L13" s="286">
        <v>609</v>
      </c>
      <c r="M13" s="20"/>
    </row>
    <row r="14" spans="1:13" ht="17.100000000000001" customHeight="1">
      <c r="A14" s="177"/>
      <c r="B14" s="284"/>
      <c r="C14" s="285"/>
      <c r="D14" s="285"/>
      <c r="E14" s="285"/>
      <c r="F14" s="285"/>
      <c r="G14" s="285"/>
      <c r="H14" s="285"/>
      <c r="I14" s="285"/>
      <c r="J14" s="285"/>
      <c r="K14" s="285"/>
      <c r="L14" s="286"/>
      <c r="M14" s="20"/>
    </row>
    <row r="15" spans="1:13" ht="17.100000000000001" customHeight="1">
      <c r="A15" s="177" t="s">
        <v>20</v>
      </c>
      <c r="B15" s="284">
        <f t="shared" ref="B15:L15" si="2">SUM(B16:B23)</f>
        <v>88533</v>
      </c>
      <c r="C15" s="285">
        <f t="shared" si="2"/>
        <v>42642</v>
      </c>
      <c r="D15" s="285">
        <f t="shared" si="2"/>
        <v>45891</v>
      </c>
      <c r="E15" s="291">
        <f t="shared" si="2"/>
        <v>15011</v>
      </c>
      <c r="F15" s="291">
        <f t="shared" si="2"/>
        <v>24108</v>
      </c>
      <c r="G15" s="291">
        <f t="shared" si="2"/>
        <v>790</v>
      </c>
      <c r="H15" s="291">
        <f t="shared" si="2"/>
        <v>1947</v>
      </c>
      <c r="I15" s="291">
        <f t="shared" si="2"/>
        <v>12647</v>
      </c>
      <c r="J15" s="291">
        <f t="shared" si="2"/>
        <v>24456</v>
      </c>
      <c r="K15" s="291">
        <f t="shared" si="2"/>
        <v>3675</v>
      </c>
      <c r="L15" s="293">
        <f t="shared" si="2"/>
        <v>4003</v>
      </c>
      <c r="M15" s="453"/>
    </row>
    <row r="16" spans="1:13" ht="17.100000000000001" customHeight="1">
      <c r="A16" s="177" t="s">
        <v>292</v>
      </c>
      <c r="B16" s="284">
        <f t="shared" ref="B16:B23" si="3">C16+D16</f>
        <v>6685</v>
      </c>
      <c r="C16" s="285">
        <v>3405</v>
      </c>
      <c r="D16" s="285">
        <v>3280</v>
      </c>
      <c r="E16" s="291">
        <v>3384</v>
      </c>
      <c r="F16" s="291">
        <v>16</v>
      </c>
      <c r="G16" s="274">
        <v>0</v>
      </c>
      <c r="H16" s="274">
        <v>0</v>
      </c>
      <c r="I16" s="291">
        <v>3248</v>
      </c>
      <c r="J16" s="291">
        <v>26</v>
      </c>
      <c r="K16" s="274">
        <v>0</v>
      </c>
      <c r="L16" s="292">
        <v>3</v>
      </c>
      <c r="M16" s="20"/>
    </row>
    <row r="17" spans="1:13" ht="17.100000000000001" customHeight="1">
      <c r="A17" s="177" t="s">
        <v>293</v>
      </c>
      <c r="B17" s="284">
        <f t="shared" si="3"/>
        <v>5890</v>
      </c>
      <c r="C17" s="285">
        <v>2967</v>
      </c>
      <c r="D17" s="285">
        <v>2923</v>
      </c>
      <c r="E17" s="291">
        <v>2660</v>
      </c>
      <c r="F17" s="291">
        <v>260</v>
      </c>
      <c r="G17" s="291">
        <v>1</v>
      </c>
      <c r="H17" s="291">
        <v>12</v>
      </c>
      <c r="I17" s="291">
        <v>2490</v>
      </c>
      <c r="J17" s="291">
        <v>356</v>
      </c>
      <c r="K17" s="274">
        <v>0</v>
      </c>
      <c r="L17" s="293">
        <v>44</v>
      </c>
      <c r="M17" s="20"/>
    </row>
    <row r="18" spans="1:13" ht="17.100000000000001" customHeight="1">
      <c r="A18" s="177" t="s">
        <v>294</v>
      </c>
      <c r="B18" s="284">
        <f t="shared" si="3"/>
        <v>7274</v>
      </c>
      <c r="C18" s="285">
        <v>3500</v>
      </c>
      <c r="D18" s="285">
        <v>3774</v>
      </c>
      <c r="E18" s="291">
        <v>2266</v>
      </c>
      <c r="F18" s="291">
        <v>1109</v>
      </c>
      <c r="G18" s="291">
        <v>1</v>
      </c>
      <c r="H18" s="291">
        <v>57</v>
      </c>
      <c r="I18" s="291">
        <v>2129</v>
      </c>
      <c r="J18" s="291">
        <v>1452</v>
      </c>
      <c r="K18" s="274">
        <v>0</v>
      </c>
      <c r="L18" s="293">
        <v>118</v>
      </c>
      <c r="M18" s="20"/>
    </row>
    <row r="19" spans="1:13" ht="17.100000000000001" customHeight="1">
      <c r="A19" s="177" t="s">
        <v>295</v>
      </c>
      <c r="B19" s="284">
        <f t="shared" si="3"/>
        <v>8032</v>
      </c>
      <c r="C19" s="285">
        <v>3893</v>
      </c>
      <c r="D19" s="285">
        <v>4139</v>
      </c>
      <c r="E19" s="291">
        <v>1603</v>
      </c>
      <c r="F19" s="291">
        <v>2107</v>
      </c>
      <c r="G19" s="291">
        <v>1</v>
      </c>
      <c r="H19" s="291">
        <v>117</v>
      </c>
      <c r="I19" s="291">
        <v>1261</v>
      </c>
      <c r="J19" s="291">
        <v>2518</v>
      </c>
      <c r="K19" s="291">
        <v>2</v>
      </c>
      <c r="L19" s="293">
        <v>256</v>
      </c>
      <c r="M19" s="20"/>
    </row>
    <row r="20" spans="1:13" ht="17.100000000000001" customHeight="1">
      <c r="A20" s="177" t="s">
        <v>296</v>
      </c>
      <c r="B20" s="284">
        <f t="shared" si="3"/>
        <v>17533</v>
      </c>
      <c r="C20" s="285">
        <v>8578</v>
      </c>
      <c r="D20" s="285">
        <v>8955</v>
      </c>
      <c r="E20" s="291">
        <f>1433+1000</f>
        <v>2433</v>
      </c>
      <c r="F20" s="291">
        <f>2957+2633</f>
        <v>5590</v>
      </c>
      <c r="G20" s="291">
        <f>1+9</f>
        <v>10</v>
      </c>
      <c r="H20" s="291">
        <f>183+212</f>
        <v>395</v>
      </c>
      <c r="I20" s="291">
        <f>1033+760</f>
        <v>1793</v>
      </c>
      <c r="J20" s="291">
        <f>3194+2890</f>
        <v>6084</v>
      </c>
      <c r="K20" s="291">
        <f>16+31</f>
        <v>47</v>
      </c>
      <c r="L20" s="293">
        <f>406+429</f>
        <v>835</v>
      </c>
      <c r="M20" s="20"/>
    </row>
    <row r="21" spans="1:13" ht="17.100000000000001" customHeight="1">
      <c r="A21" s="177" t="s">
        <v>297</v>
      </c>
      <c r="B21" s="284">
        <f t="shared" si="3"/>
        <v>14135</v>
      </c>
      <c r="C21" s="285">
        <v>6945</v>
      </c>
      <c r="D21" s="285">
        <v>7190</v>
      </c>
      <c r="E21" s="291">
        <f>683+694</f>
        <v>1377</v>
      </c>
      <c r="F21" s="291">
        <f>2559+2352</f>
        <v>4911</v>
      </c>
      <c r="G21" s="291">
        <f>13+21</f>
        <v>34</v>
      </c>
      <c r="H21" s="291">
        <f>214+269</f>
        <v>483</v>
      </c>
      <c r="I21" s="291">
        <f>495+346</f>
        <v>841</v>
      </c>
      <c r="J21" s="291">
        <f>2603+2329</f>
        <v>4932</v>
      </c>
      <c r="K21" s="291">
        <f>60+114</f>
        <v>174</v>
      </c>
      <c r="L21" s="293">
        <f>509+559</f>
        <v>1068</v>
      </c>
      <c r="M21" s="20"/>
    </row>
    <row r="22" spans="1:13" ht="17.100000000000001" customHeight="1">
      <c r="A22" s="177" t="s">
        <v>298</v>
      </c>
      <c r="B22" s="284">
        <f t="shared" si="3"/>
        <v>13138</v>
      </c>
      <c r="C22" s="285">
        <v>6444</v>
      </c>
      <c r="D22" s="285">
        <v>6694</v>
      </c>
      <c r="E22" s="291">
        <f>564+366</f>
        <v>930</v>
      </c>
      <c r="F22" s="291">
        <f>2455+2257</f>
        <v>4712</v>
      </c>
      <c r="G22" s="291">
        <f>49+61</f>
        <v>110</v>
      </c>
      <c r="H22" s="291">
        <f>276+255</f>
        <v>531</v>
      </c>
      <c r="I22" s="291">
        <f>323+199</f>
        <v>522</v>
      </c>
      <c r="J22" s="291">
        <f>2506+2089</f>
        <v>4595</v>
      </c>
      <c r="K22" s="291">
        <f>192+240</f>
        <v>432</v>
      </c>
      <c r="L22" s="293">
        <f>573+406</f>
        <v>979</v>
      </c>
      <c r="M22" s="20"/>
    </row>
    <row r="23" spans="1:13" ht="17.100000000000001" customHeight="1">
      <c r="A23" s="177" t="s">
        <v>299</v>
      </c>
      <c r="B23" s="284">
        <f t="shared" si="3"/>
        <v>15846</v>
      </c>
      <c r="C23" s="285">
        <v>6910</v>
      </c>
      <c r="D23" s="285">
        <v>8936</v>
      </c>
      <c r="E23" s="291">
        <v>358</v>
      </c>
      <c r="F23" s="291">
        <v>5403</v>
      </c>
      <c r="G23" s="291">
        <v>633</v>
      </c>
      <c r="H23" s="291">
        <v>352</v>
      </c>
      <c r="I23" s="291">
        <v>363</v>
      </c>
      <c r="J23" s="291">
        <v>4493</v>
      </c>
      <c r="K23" s="291">
        <v>3020</v>
      </c>
      <c r="L23" s="293">
        <v>700</v>
      </c>
      <c r="M23" s="20"/>
    </row>
    <row r="24" spans="1:13" ht="17.100000000000001" customHeight="1">
      <c r="A24" s="177"/>
      <c r="B24" s="284"/>
      <c r="C24" s="285"/>
      <c r="D24" s="285"/>
      <c r="E24" s="285"/>
      <c r="F24" s="285"/>
      <c r="G24" s="285"/>
      <c r="H24" s="285"/>
      <c r="I24" s="285"/>
      <c r="J24" s="285"/>
      <c r="K24" s="285"/>
      <c r="L24" s="286"/>
      <c r="M24" s="20"/>
    </row>
    <row r="25" spans="1:13" ht="17.100000000000001" customHeight="1">
      <c r="A25" s="176" t="s">
        <v>614</v>
      </c>
      <c r="B25" s="287">
        <f t="shared" ref="B25:L25" si="4">SUM(B26:B33)</f>
        <v>92102</v>
      </c>
      <c r="C25" s="288">
        <f t="shared" si="4"/>
        <v>44202</v>
      </c>
      <c r="D25" s="288">
        <f t="shared" si="4"/>
        <v>47900</v>
      </c>
      <c r="E25" s="289">
        <f t="shared" si="4"/>
        <v>15335</v>
      </c>
      <c r="F25" s="289">
        <f t="shared" si="4"/>
        <v>24439</v>
      </c>
      <c r="G25" s="289">
        <f t="shared" si="4"/>
        <v>924</v>
      </c>
      <c r="H25" s="289">
        <f t="shared" si="4"/>
        <v>2026</v>
      </c>
      <c r="I25" s="289">
        <f t="shared" si="4"/>
        <v>13111</v>
      </c>
      <c r="J25" s="289">
        <f t="shared" si="4"/>
        <v>25209</v>
      </c>
      <c r="K25" s="289">
        <f t="shared" si="4"/>
        <v>3866</v>
      </c>
      <c r="L25" s="290">
        <f t="shared" si="4"/>
        <v>4140</v>
      </c>
      <c r="M25" s="20"/>
    </row>
    <row r="26" spans="1:13" ht="17.100000000000001" customHeight="1">
      <c r="A26" s="177" t="s">
        <v>292</v>
      </c>
      <c r="B26" s="284">
        <v>6904</v>
      </c>
      <c r="C26" s="285">
        <v>3504</v>
      </c>
      <c r="D26" s="285">
        <v>3400</v>
      </c>
      <c r="E26" s="291">
        <v>3468</v>
      </c>
      <c r="F26" s="291">
        <v>25</v>
      </c>
      <c r="G26" s="274">
        <v>0</v>
      </c>
      <c r="H26" s="274">
        <v>0</v>
      </c>
      <c r="I26" s="291">
        <v>3312</v>
      </c>
      <c r="J26" s="291">
        <v>44</v>
      </c>
      <c r="K26" s="274">
        <v>1</v>
      </c>
      <c r="L26" s="292">
        <v>2</v>
      </c>
      <c r="M26" s="20"/>
    </row>
    <row r="27" spans="1:13" ht="17.100000000000001" customHeight="1">
      <c r="A27" s="177" t="s">
        <v>293</v>
      </c>
      <c r="B27" s="284">
        <v>5837</v>
      </c>
      <c r="C27" s="285">
        <v>2909</v>
      </c>
      <c r="D27" s="285">
        <v>2928</v>
      </c>
      <c r="E27" s="291">
        <v>2607</v>
      </c>
      <c r="F27" s="291">
        <v>235</v>
      </c>
      <c r="G27" s="274">
        <v>0</v>
      </c>
      <c r="H27" s="291">
        <v>6</v>
      </c>
      <c r="I27" s="291">
        <v>2492</v>
      </c>
      <c r="J27" s="291">
        <v>332</v>
      </c>
      <c r="K27" s="274">
        <v>2</v>
      </c>
      <c r="L27" s="293">
        <v>36</v>
      </c>
      <c r="M27" s="20"/>
    </row>
    <row r="28" spans="1:13" ht="17.100000000000001" customHeight="1">
      <c r="A28" s="177" t="s">
        <v>294</v>
      </c>
      <c r="B28" s="284">
        <v>6462</v>
      </c>
      <c r="C28" s="285">
        <v>3200</v>
      </c>
      <c r="D28" s="285">
        <v>3262</v>
      </c>
      <c r="E28" s="291">
        <v>2111</v>
      </c>
      <c r="F28" s="291">
        <v>947</v>
      </c>
      <c r="G28" s="291">
        <v>1</v>
      </c>
      <c r="H28" s="291">
        <v>39</v>
      </c>
      <c r="I28" s="291">
        <v>1873</v>
      </c>
      <c r="J28" s="291">
        <v>1203</v>
      </c>
      <c r="K28" s="274">
        <v>0</v>
      </c>
      <c r="L28" s="293">
        <v>93</v>
      </c>
      <c r="M28" s="20"/>
    </row>
    <row r="29" spans="1:13" ht="17.100000000000001" customHeight="1">
      <c r="A29" s="177" t="s">
        <v>295</v>
      </c>
      <c r="B29" s="284">
        <v>7395</v>
      </c>
      <c r="C29" s="285">
        <v>3568</v>
      </c>
      <c r="D29" s="285">
        <v>3827</v>
      </c>
      <c r="E29" s="291">
        <v>1525</v>
      </c>
      <c r="F29" s="291">
        <v>1859</v>
      </c>
      <c r="G29" s="291">
        <v>1</v>
      </c>
      <c r="H29" s="291">
        <v>100</v>
      </c>
      <c r="I29" s="291">
        <v>1325</v>
      </c>
      <c r="J29" s="291">
        <v>2227</v>
      </c>
      <c r="K29" s="291">
        <v>3</v>
      </c>
      <c r="L29" s="293">
        <v>189</v>
      </c>
      <c r="M29" s="20"/>
    </row>
    <row r="30" spans="1:13" ht="17.100000000000001" customHeight="1">
      <c r="A30" s="177" t="s">
        <v>296</v>
      </c>
      <c r="B30" s="284">
        <v>17177</v>
      </c>
      <c r="C30" s="285">
        <v>8369</v>
      </c>
      <c r="D30" s="285">
        <v>8808</v>
      </c>
      <c r="E30" s="291">
        <v>2385</v>
      </c>
      <c r="F30" s="291">
        <v>5335</v>
      </c>
      <c r="G30" s="291">
        <v>9</v>
      </c>
      <c r="H30" s="291">
        <v>394</v>
      </c>
      <c r="I30" s="291">
        <v>1753</v>
      </c>
      <c r="J30" s="291">
        <v>6038</v>
      </c>
      <c r="K30" s="291">
        <v>26</v>
      </c>
      <c r="L30" s="293">
        <v>798</v>
      </c>
      <c r="M30" s="20"/>
    </row>
    <row r="31" spans="1:13" ht="17.100000000000001" customHeight="1">
      <c r="A31" s="177" t="s">
        <v>297</v>
      </c>
      <c r="B31" s="284">
        <v>15200</v>
      </c>
      <c r="C31" s="285">
        <v>7341</v>
      </c>
      <c r="D31" s="285">
        <v>7859</v>
      </c>
      <c r="E31" s="291">
        <v>1535</v>
      </c>
      <c r="F31" s="291">
        <v>5055</v>
      </c>
      <c r="G31" s="291">
        <v>35</v>
      </c>
      <c r="H31" s="291">
        <v>472</v>
      </c>
      <c r="I31" s="291">
        <v>1205</v>
      </c>
      <c r="J31" s="291">
        <v>5348</v>
      </c>
      <c r="K31" s="291">
        <v>123</v>
      </c>
      <c r="L31" s="293">
        <v>963</v>
      </c>
      <c r="M31" s="20"/>
    </row>
    <row r="32" spans="1:13" ht="17.100000000000001" customHeight="1">
      <c r="A32" s="177" t="s">
        <v>298</v>
      </c>
      <c r="B32" s="284">
        <v>13651</v>
      </c>
      <c r="C32" s="285">
        <v>6662</v>
      </c>
      <c r="D32" s="285">
        <v>6989</v>
      </c>
      <c r="E32" s="291">
        <v>1119</v>
      </c>
      <c r="F32" s="291">
        <v>4574</v>
      </c>
      <c r="G32" s="291">
        <v>127</v>
      </c>
      <c r="H32" s="291">
        <v>529</v>
      </c>
      <c r="I32" s="291">
        <v>626</v>
      </c>
      <c r="J32" s="291">
        <v>4597</v>
      </c>
      <c r="K32" s="291">
        <v>441</v>
      </c>
      <c r="L32" s="293">
        <v>1091</v>
      </c>
      <c r="M32" s="20"/>
    </row>
    <row r="33" spans="1:13" ht="17.100000000000001" customHeight="1" thickBot="1">
      <c r="A33" s="178" t="s">
        <v>299</v>
      </c>
      <c r="B33" s="294">
        <v>19476</v>
      </c>
      <c r="C33" s="295">
        <v>8649</v>
      </c>
      <c r="D33" s="295">
        <v>10827</v>
      </c>
      <c r="E33" s="296">
        <v>585</v>
      </c>
      <c r="F33" s="296">
        <v>6409</v>
      </c>
      <c r="G33" s="296">
        <v>751</v>
      </c>
      <c r="H33" s="296">
        <v>486</v>
      </c>
      <c r="I33" s="296">
        <v>525</v>
      </c>
      <c r="J33" s="296">
        <v>5420</v>
      </c>
      <c r="K33" s="296">
        <v>3270</v>
      </c>
      <c r="L33" s="297">
        <v>968</v>
      </c>
      <c r="M33" s="20"/>
    </row>
    <row r="34" spans="1:13" ht="15" customHeight="1">
      <c r="A34" s="5" t="s">
        <v>616</v>
      </c>
      <c r="B34" s="6"/>
      <c r="C34" s="6"/>
      <c r="D34" s="6"/>
      <c r="E34" s="6"/>
      <c r="F34" s="6"/>
      <c r="G34" s="6"/>
      <c r="H34" s="6"/>
      <c r="I34" s="6"/>
      <c r="J34" s="6"/>
      <c r="K34" s="6"/>
      <c r="L34" s="7" t="s">
        <v>615</v>
      </c>
      <c r="M34" s="6"/>
    </row>
    <row r="35" spans="1:13" ht="15" customHeight="1">
      <c r="A35" s="5"/>
      <c r="B35" s="6"/>
      <c r="C35" s="6"/>
      <c r="D35" s="6"/>
      <c r="E35" s="6"/>
      <c r="F35" s="6"/>
      <c r="G35" s="6"/>
      <c r="H35" s="6"/>
      <c r="I35" s="6"/>
      <c r="J35" s="6"/>
      <c r="K35" s="6"/>
      <c r="L35" s="6"/>
      <c r="M35" s="6"/>
    </row>
    <row r="36" spans="1:13" ht="15" customHeight="1" thickBot="1">
      <c r="A36" s="5" t="s">
        <v>300</v>
      </c>
      <c r="B36" s="6"/>
      <c r="C36" s="6"/>
      <c r="D36" s="6"/>
      <c r="E36" s="6"/>
      <c r="F36" s="6"/>
      <c r="G36" s="6"/>
      <c r="H36" s="6"/>
      <c r="I36" s="6"/>
      <c r="J36" s="6"/>
      <c r="K36" s="6"/>
      <c r="L36" s="7" t="s">
        <v>301</v>
      </c>
      <c r="M36" s="6"/>
    </row>
    <row r="37" spans="1:13" ht="21" customHeight="1">
      <c r="A37" s="862" t="s">
        <v>302</v>
      </c>
      <c r="B37" s="907"/>
      <c r="C37" s="908" t="s">
        <v>451</v>
      </c>
      <c r="D37" s="909"/>
      <c r="E37" s="131" t="s">
        <v>303</v>
      </c>
      <c r="F37" s="859" t="s">
        <v>467</v>
      </c>
      <c r="G37" s="859"/>
      <c r="H37" s="859"/>
      <c r="I37" s="859"/>
      <c r="J37" s="859"/>
      <c r="K37" s="859"/>
      <c r="L37" s="906"/>
    </row>
    <row r="38" spans="1:13" ht="21" customHeight="1">
      <c r="A38" s="912" t="s">
        <v>304</v>
      </c>
      <c r="B38" s="802"/>
      <c r="C38" s="910"/>
      <c r="D38" s="911"/>
      <c r="E38" s="11" t="s">
        <v>305</v>
      </c>
      <c r="F38" s="8" t="s">
        <v>158</v>
      </c>
      <c r="G38" s="8" t="s">
        <v>306</v>
      </c>
      <c r="H38" s="8" t="s">
        <v>307</v>
      </c>
      <c r="I38" s="8" t="s">
        <v>308</v>
      </c>
      <c r="J38" s="8" t="s">
        <v>309</v>
      </c>
      <c r="K38" s="8" t="s">
        <v>310</v>
      </c>
      <c r="L38" s="179" t="s">
        <v>311</v>
      </c>
    </row>
    <row r="39" spans="1:13" s="69" customFormat="1" ht="17.100000000000001" customHeight="1">
      <c r="A39" s="901" t="s">
        <v>422</v>
      </c>
      <c r="B39" s="902"/>
      <c r="C39" s="903">
        <f>SUM(C41:D47)</f>
        <v>6666</v>
      </c>
      <c r="D39" s="903"/>
      <c r="E39" s="280">
        <f t="shared" ref="E39:L39" si="5">SUM(E41:E47)</f>
        <v>2903</v>
      </c>
      <c r="F39" s="280">
        <f>SUM(F41:F47)</f>
        <v>3763</v>
      </c>
      <c r="G39" s="280">
        <f t="shared" si="5"/>
        <v>990</v>
      </c>
      <c r="H39" s="280">
        <f t="shared" si="5"/>
        <v>945</v>
      </c>
      <c r="I39" s="280">
        <f t="shared" si="5"/>
        <v>750</v>
      </c>
      <c r="J39" s="280">
        <f t="shared" si="5"/>
        <v>635</v>
      </c>
      <c r="K39" s="280">
        <f t="shared" si="5"/>
        <v>332</v>
      </c>
      <c r="L39" s="281">
        <f t="shared" si="5"/>
        <v>111</v>
      </c>
    </row>
    <row r="40" spans="1:13" ht="17.100000000000001" customHeight="1">
      <c r="A40" s="898"/>
      <c r="B40" s="899"/>
      <c r="C40" s="62"/>
      <c r="D40" s="344"/>
      <c r="E40" s="63"/>
      <c r="F40" s="63"/>
      <c r="G40" s="63"/>
      <c r="H40" s="63"/>
      <c r="I40" s="63"/>
      <c r="J40" s="63"/>
      <c r="K40" s="63"/>
      <c r="L40" s="282"/>
    </row>
    <row r="41" spans="1:13" ht="17.100000000000001" customHeight="1">
      <c r="A41" s="904" t="s">
        <v>312</v>
      </c>
      <c r="B41" s="905"/>
      <c r="C41" s="900">
        <v>2555</v>
      </c>
      <c r="D41" s="900"/>
      <c r="E41" s="63">
        <v>2466</v>
      </c>
      <c r="F41" s="63">
        <f t="shared" ref="F41:F47" si="6">SUM(G41:L41)</f>
        <v>89</v>
      </c>
      <c r="G41" s="63">
        <v>72</v>
      </c>
      <c r="H41" s="63">
        <v>13</v>
      </c>
      <c r="I41" s="63">
        <v>3</v>
      </c>
      <c r="J41" s="300">
        <v>1</v>
      </c>
      <c r="K41" s="300">
        <v>0</v>
      </c>
      <c r="L41" s="345">
        <v>0</v>
      </c>
    </row>
    <row r="42" spans="1:13" ht="17.100000000000001" customHeight="1">
      <c r="A42" s="898" t="s">
        <v>306</v>
      </c>
      <c r="B42" s="899"/>
      <c r="C42" s="900">
        <v>851</v>
      </c>
      <c r="D42" s="900"/>
      <c r="E42" s="63">
        <v>314</v>
      </c>
      <c r="F42" s="63">
        <f t="shared" si="6"/>
        <v>537</v>
      </c>
      <c r="G42" s="63">
        <v>436</v>
      </c>
      <c r="H42" s="63">
        <v>88</v>
      </c>
      <c r="I42" s="63">
        <v>10</v>
      </c>
      <c r="J42" s="300">
        <v>2</v>
      </c>
      <c r="K42" s="300">
        <v>0</v>
      </c>
      <c r="L42" s="345">
        <v>1</v>
      </c>
    </row>
    <row r="43" spans="1:13" ht="17.100000000000001" customHeight="1">
      <c r="A43" s="898" t="s">
        <v>307</v>
      </c>
      <c r="B43" s="899"/>
      <c r="C43" s="900">
        <v>997</v>
      </c>
      <c r="D43" s="900"/>
      <c r="E43" s="63">
        <v>97</v>
      </c>
      <c r="F43" s="63">
        <f t="shared" si="6"/>
        <v>900</v>
      </c>
      <c r="G43" s="63">
        <v>382</v>
      </c>
      <c r="H43" s="63">
        <v>459</v>
      </c>
      <c r="I43" s="63">
        <v>46</v>
      </c>
      <c r="J43" s="63">
        <v>11</v>
      </c>
      <c r="K43" s="63">
        <v>1</v>
      </c>
      <c r="L43" s="282">
        <v>1</v>
      </c>
    </row>
    <row r="44" spans="1:13" ht="17.100000000000001" customHeight="1">
      <c r="A44" s="898" t="s">
        <v>308</v>
      </c>
      <c r="B44" s="899"/>
      <c r="C44" s="900">
        <v>787</v>
      </c>
      <c r="D44" s="900"/>
      <c r="E44" s="63">
        <v>21</v>
      </c>
      <c r="F44" s="63">
        <f t="shared" si="6"/>
        <v>766</v>
      </c>
      <c r="G44" s="63">
        <v>75</v>
      </c>
      <c r="H44" s="63">
        <v>297</v>
      </c>
      <c r="I44" s="63">
        <v>330</v>
      </c>
      <c r="J44" s="63">
        <v>56</v>
      </c>
      <c r="K44" s="63">
        <v>8</v>
      </c>
      <c r="L44" s="586">
        <v>0</v>
      </c>
    </row>
    <row r="45" spans="1:13" ht="17.100000000000001" customHeight="1">
      <c r="A45" s="898" t="s">
        <v>309</v>
      </c>
      <c r="B45" s="899"/>
      <c r="C45" s="900">
        <v>797</v>
      </c>
      <c r="D45" s="900"/>
      <c r="E45" s="63">
        <v>4</v>
      </c>
      <c r="F45" s="63">
        <f t="shared" si="6"/>
        <v>793</v>
      </c>
      <c r="G45" s="63">
        <v>19</v>
      </c>
      <c r="H45" s="63">
        <v>73</v>
      </c>
      <c r="I45" s="63">
        <v>304</v>
      </c>
      <c r="J45" s="63">
        <v>343</v>
      </c>
      <c r="K45" s="63">
        <v>45</v>
      </c>
      <c r="L45" s="282">
        <v>9</v>
      </c>
    </row>
    <row r="46" spans="1:13" ht="17.100000000000001" customHeight="1">
      <c r="A46" s="898" t="s">
        <v>310</v>
      </c>
      <c r="B46" s="899"/>
      <c r="C46" s="900">
        <v>477</v>
      </c>
      <c r="D46" s="900"/>
      <c r="E46" s="346">
        <v>1</v>
      </c>
      <c r="F46" s="63">
        <f t="shared" si="6"/>
        <v>476</v>
      </c>
      <c r="G46" s="63">
        <v>5</v>
      </c>
      <c r="H46" s="63">
        <v>14</v>
      </c>
      <c r="I46" s="63">
        <v>51</v>
      </c>
      <c r="J46" s="63">
        <v>203</v>
      </c>
      <c r="K46" s="63">
        <v>189</v>
      </c>
      <c r="L46" s="282">
        <v>14</v>
      </c>
    </row>
    <row r="47" spans="1:13" s="70" customFormat="1" ht="17.100000000000001" customHeight="1" thickBot="1">
      <c r="A47" s="895" t="s">
        <v>311</v>
      </c>
      <c r="B47" s="896"/>
      <c r="C47" s="897">
        <v>202</v>
      </c>
      <c r="D47" s="897"/>
      <c r="E47" s="347" t="s">
        <v>458</v>
      </c>
      <c r="F47" s="283">
        <f t="shared" si="6"/>
        <v>202</v>
      </c>
      <c r="G47" s="347">
        <v>1</v>
      </c>
      <c r="H47" s="283">
        <v>1</v>
      </c>
      <c r="I47" s="283">
        <v>6</v>
      </c>
      <c r="J47" s="283">
        <v>19</v>
      </c>
      <c r="K47" s="283">
        <v>89</v>
      </c>
      <c r="L47" s="186">
        <v>86</v>
      </c>
    </row>
    <row r="48" spans="1:13" ht="15" customHeight="1">
      <c r="B48" s="6"/>
      <c r="C48" s="6"/>
      <c r="D48" s="6"/>
      <c r="E48" s="6"/>
      <c r="F48" s="6"/>
      <c r="G48" s="6"/>
      <c r="H48" s="6"/>
      <c r="I48" s="6"/>
      <c r="J48" s="6"/>
      <c r="K48" s="6"/>
      <c r="L48" s="7" t="s">
        <v>617</v>
      </c>
      <c r="M48" s="6"/>
    </row>
  </sheetData>
  <sheetProtection sheet="1" objects="1" scenarios="1"/>
  <mergeCells count="25">
    <mergeCell ref="E3:H3"/>
    <mergeCell ref="I3:L3"/>
    <mergeCell ref="A37:B37"/>
    <mergeCell ref="C37:D38"/>
    <mergeCell ref="F37:L37"/>
    <mergeCell ref="A38:B38"/>
    <mergeCell ref="A42:B42"/>
    <mergeCell ref="C42:D42"/>
    <mergeCell ref="A3:A4"/>
    <mergeCell ref="B3:D3"/>
    <mergeCell ref="A39:B39"/>
    <mergeCell ref="C39:D39"/>
    <mergeCell ref="A40:B40"/>
    <mergeCell ref="A41:B41"/>
    <mergeCell ref="C41:D41"/>
    <mergeCell ref="A47:B47"/>
    <mergeCell ref="C47:D47"/>
    <mergeCell ref="A43:B43"/>
    <mergeCell ref="C43:D43"/>
    <mergeCell ref="A44:B44"/>
    <mergeCell ref="C44:D44"/>
    <mergeCell ref="A45:B45"/>
    <mergeCell ref="C45:D45"/>
    <mergeCell ref="A46:B46"/>
    <mergeCell ref="C46:D46"/>
  </mergeCells>
  <phoneticPr fontId="17"/>
  <printOptions horizontalCentered="1"/>
  <pageMargins left="0.59055118110236227" right="0.59055118110236227" top="0.59055118110236227" bottom="0.59055118110236227" header="0.39370078740157483" footer="0.39370078740157483"/>
  <pageSetup paperSize="9" firstPageNumber="0" orientation="portrait" verticalDpi="300" r:id="rId1"/>
  <headerFooter scaleWithDoc="0" alignWithMargins="0">
    <oddHeader>&amp;R&amp;"ＭＳ 明朝,標準"&amp;10人　口</oddHeader>
    <oddFooter>&amp;C&amp;"ＭＳ 明朝,標準"&amp;12&amp;A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X39"/>
  <sheetViews>
    <sheetView view="pageBreakPreview" zoomScale="90" zoomScaleNormal="90" zoomScaleSheetLayoutView="90" workbookViewId="0">
      <selection activeCell="M1" sqref="M1:X1048576"/>
    </sheetView>
  </sheetViews>
  <sheetFormatPr defaultRowHeight="16.5" customHeight="1"/>
  <cols>
    <col min="1" max="1" width="3.125" style="6" customWidth="1"/>
    <col min="2" max="2" width="8.375" style="6" customWidth="1"/>
    <col min="3" max="3" width="7.625" style="6" customWidth="1"/>
    <col min="4" max="4" width="1.25" style="6" customWidth="1"/>
    <col min="5" max="5" width="8.375" style="6" customWidth="1"/>
    <col min="6" max="6" width="10" style="6" customWidth="1"/>
    <col min="7" max="12" width="8.375" style="6" customWidth="1"/>
    <col min="13" max="13" width="0.875" style="6" hidden="1" customWidth="1"/>
    <col min="14" max="24" width="8" style="6" hidden="1" customWidth="1"/>
    <col min="25" max="16384" width="9" style="6"/>
  </cols>
  <sheetData>
    <row r="1" spans="1:24" ht="5.0999999999999996" customHeight="1">
      <c r="A1" s="37"/>
      <c r="B1" s="5"/>
      <c r="C1" s="5"/>
      <c r="D1" s="5"/>
      <c r="N1" s="883"/>
      <c r="O1" s="883"/>
      <c r="P1" s="883"/>
      <c r="Q1" s="883"/>
      <c r="R1" s="883"/>
      <c r="S1" s="883"/>
      <c r="T1" s="883"/>
      <c r="U1" s="883"/>
      <c r="V1" s="883"/>
      <c r="W1" s="883"/>
      <c r="X1" s="883"/>
    </row>
    <row r="2" spans="1:24" ht="15" customHeight="1">
      <c r="A2" s="37" t="s">
        <v>313</v>
      </c>
      <c r="B2" s="5"/>
      <c r="C2" s="5"/>
      <c r="D2" s="5"/>
      <c r="N2" s="71"/>
      <c r="O2" s="71"/>
      <c r="P2" s="71"/>
      <c r="Q2" s="71"/>
      <c r="R2" s="71"/>
      <c r="S2" s="71"/>
      <c r="T2" s="71"/>
      <c r="U2" s="71"/>
      <c r="V2" s="71"/>
      <c r="W2" s="71"/>
      <c r="X2" s="71"/>
    </row>
    <row r="3" spans="1:24" ht="5.0999999999999996" customHeight="1">
      <c r="A3" s="37"/>
      <c r="B3" s="5"/>
      <c r="C3" s="5"/>
      <c r="D3" s="5"/>
      <c r="N3" s="71"/>
      <c r="O3" s="71"/>
      <c r="P3" s="71"/>
      <c r="Q3" s="71"/>
      <c r="R3" s="71"/>
      <c r="S3" s="71"/>
      <c r="T3" s="71"/>
      <c r="U3" s="71"/>
      <c r="V3" s="71"/>
      <c r="W3" s="71"/>
      <c r="X3" s="71"/>
    </row>
    <row r="4" spans="1:24" s="70" customFormat="1" ht="60" customHeight="1">
      <c r="A4" s="913" t="s">
        <v>655</v>
      </c>
      <c r="B4" s="913"/>
      <c r="C4" s="913"/>
      <c r="D4" s="913"/>
      <c r="E4" s="913"/>
      <c r="F4" s="913"/>
      <c r="G4" s="913"/>
      <c r="H4" s="913"/>
      <c r="I4" s="913"/>
      <c r="J4" s="913"/>
      <c r="K4" s="913"/>
      <c r="L4" s="913"/>
      <c r="M4" s="72"/>
      <c r="N4" s="881" t="s">
        <v>629</v>
      </c>
      <c r="O4" s="881"/>
      <c r="P4" s="881"/>
      <c r="Q4" s="881"/>
      <c r="R4" s="881"/>
      <c r="S4" s="881"/>
      <c r="T4" s="881"/>
      <c r="U4" s="881"/>
      <c r="V4" s="881"/>
      <c r="W4" s="881"/>
      <c r="X4" s="881"/>
    </row>
    <row r="5" spans="1:24" ht="12" customHeight="1">
      <c r="A5" s="913"/>
      <c r="B5" s="913"/>
      <c r="C5" s="913"/>
      <c r="D5" s="913"/>
      <c r="E5" s="913"/>
      <c r="F5" s="913"/>
      <c r="G5" s="913"/>
      <c r="H5" s="913"/>
      <c r="I5" s="913"/>
      <c r="J5" s="913"/>
      <c r="K5" s="913"/>
      <c r="L5" s="913"/>
      <c r="N5" s="5" t="s">
        <v>24</v>
      </c>
    </row>
    <row r="6" spans="1:24" ht="15" customHeight="1" thickBot="1">
      <c r="A6" s="13" t="s">
        <v>314</v>
      </c>
      <c r="L6" s="7" t="s">
        <v>22</v>
      </c>
      <c r="N6" s="5" t="s">
        <v>315</v>
      </c>
      <c r="X6" s="7"/>
    </row>
    <row r="7" spans="1:24" ht="20.100000000000001" customHeight="1">
      <c r="A7" s="858" t="s">
        <v>316</v>
      </c>
      <c r="B7" s="859"/>
      <c r="C7" s="949" t="s">
        <v>468</v>
      </c>
      <c r="D7" s="949"/>
      <c r="E7" s="949"/>
      <c r="F7" s="949"/>
      <c r="G7" s="949" t="s">
        <v>469</v>
      </c>
      <c r="H7" s="949"/>
      <c r="I7" s="949"/>
      <c r="J7" s="949" t="s">
        <v>470</v>
      </c>
      <c r="K7" s="949"/>
      <c r="L7" s="950"/>
      <c r="M7" s="7"/>
      <c r="N7" s="858" t="s">
        <v>317</v>
      </c>
      <c r="O7" s="859"/>
      <c r="P7" s="859"/>
      <c r="Q7" s="859" t="s">
        <v>318</v>
      </c>
      <c r="R7" s="859"/>
      <c r="S7" s="859" t="s">
        <v>319</v>
      </c>
      <c r="T7" s="859"/>
      <c r="U7" s="859" t="s">
        <v>320</v>
      </c>
      <c r="V7" s="859"/>
      <c r="W7" s="859" t="s">
        <v>321</v>
      </c>
      <c r="X7" s="906"/>
    </row>
    <row r="8" spans="1:24" ht="20.100000000000001" customHeight="1">
      <c r="A8" s="860"/>
      <c r="B8" s="861"/>
      <c r="C8" s="943" t="s">
        <v>322</v>
      </c>
      <c r="D8" s="943"/>
      <c r="E8" s="943"/>
      <c r="F8" s="943"/>
      <c r="G8" s="943" t="s">
        <v>23</v>
      </c>
      <c r="H8" s="943"/>
      <c r="I8" s="943"/>
      <c r="J8" s="943" t="s">
        <v>323</v>
      </c>
      <c r="K8" s="943"/>
      <c r="L8" s="944"/>
      <c r="M8" s="73"/>
      <c r="N8" s="962" t="s">
        <v>625</v>
      </c>
      <c r="O8" s="963"/>
      <c r="P8" s="964"/>
      <c r="Q8" s="965">
        <v>32</v>
      </c>
      <c r="R8" s="951"/>
      <c r="S8" s="951">
        <v>14.5</v>
      </c>
      <c r="T8" s="951"/>
      <c r="U8" s="951">
        <v>46.5</v>
      </c>
      <c r="V8" s="951"/>
      <c r="W8" s="951">
        <v>45.3</v>
      </c>
      <c r="X8" s="961"/>
    </row>
    <row r="9" spans="1:24" ht="20.100000000000001" customHeight="1">
      <c r="A9" s="860"/>
      <c r="B9" s="861"/>
      <c r="C9" s="861" t="s">
        <v>451</v>
      </c>
      <c r="D9" s="861"/>
      <c r="E9" s="861"/>
      <c r="F9" s="4" t="s">
        <v>324</v>
      </c>
      <c r="G9" s="861" t="s">
        <v>451</v>
      </c>
      <c r="H9" s="861"/>
      <c r="I9" s="4" t="s">
        <v>324</v>
      </c>
      <c r="J9" s="861" t="s">
        <v>451</v>
      </c>
      <c r="K9" s="861"/>
      <c r="L9" s="180" t="s">
        <v>324</v>
      </c>
      <c r="M9" s="33"/>
      <c r="N9" s="904" t="s">
        <v>626</v>
      </c>
      <c r="O9" s="846"/>
      <c r="P9" s="924"/>
      <c r="Q9" s="966">
        <v>30.2</v>
      </c>
      <c r="R9" s="957"/>
      <c r="S9" s="957">
        <v>18.5</v>
      </c>
      <c r="T9" s="957"/>
      <c r="U9" s="957">
        <v>48.6</v>
      </c>
      <c r="V9" s="957"/>
      <c r="W9" s="957">
        <v>61.2</v>
      </c>
      <c r="X9" s="959"/>
    </row>
    <row r="10" spans="1:24" ht="20.100000000000001" customHeight="1">
      <c r="A10" s="945" t="s">
        <v>619</v>
      </c>
      <c r="B10" s="946"/>
      <c r="C10" s="947">
        <v>21892</v>
      </c>
      <c r="D10" s="948"/>
      <c r="E10" s="948"/>
      <c r="F10" s="238">
        <v>11286</v>
      </c>
      <c r="G10" s="947">
        <v>68413</v>
      </c>
      <c r="H10" s="948"/>
      <c r="I10" s="238">
        <v>33660</v>
      </c>
      <c r="J10" s="947">
        <v>9917</v>
      </c>
      <c r="K10" s="948"/>
      <c r="L10" s="239">
        <v>4165</v>
      </c>
      <c r="M10" s="54"/>
      <c r="N10" s="904" t="s">
        <v>628</v>
      </c>
      <c r="O10" s="846"/>
      <c r="P10" s="924"/>
      <c r="Q10" s="918">
        <v>29.3</v>
      </c>
      <c r="R10" s="918"/>
      <c r="S10" s="957">
        <v>21.8</v>
      </c>
      <c r="T10" s="957"/>
      <c r="U10" s="956">
        <v>51.1</v>
      </c>
      <c r="V10" s="956"/>
      <c r="W10" s="958">
        <v>74.5</v>
      </c>
      <c r="X10" s="959"/>
    </row>
    <row r="11" spans="1:24" ht="20.100000000000001" customHeight="1" thickBot="1">
      <c r="A11" s="181"/>
      <c r="B11" s="75"/>
      <c r="C11" s="526"/>
      <c r="D11" s="526"/>
      <c r="E11" s="526"/>
      <c r="F11" s="238"/>
      <c r="G11" s="526"/>
      <c r="H11" s="526"/>
      <c r="I11" s="238"/>
      <c r="J11" s="526"/>
      <c r="K11" s="526"/>
      <c r="L11" s="239"/>
      <c r="M11" s="76"/>
      <c r="N11" s="939" t="s">
        <v>627</v>
      </c>
      <c r="O11" s="940"/>
      <c r="P11" s="941"/>
      <c r="Q11" s="960">
        <v>28.8</v>
      </c>
      <c r="R11" s="960"/>
      <c r="S11" s="955">
        <v>26.8</v>
      </c>
      <c r="T11" s="955"/>
      <c r="U11" s="954">
        <v>55.6</v>
      </c>
      <c r="V11" s="954"/>
      <c r="W11" s="952">
        <v>93.1</v>
      </c>
      <c r="X11" s="953"/>
    </row>
    <row r="12" spans="1:24" ht="20.100000000000001" customHeight="1">
      <c r="A12" s="935" t="s">
        <v>620</v>
      </c>
      <c r="B12" s="936"/>
      <c r="C12" s="937">
        <v>21528</v>
      </c>
      <c r="D12" s="938"/>
      <c r="E12" s="938"/>
      <c r="F12" s="238">
        <v>11208</v>
      </c>
      <c r="G12" s="937">
        <v>71343</v>
      </c>
      <c r="H12" s="938"/>
      <c r="I12" s="238">
        <v>35226</v>
      </c>
      <c r="J12" s="937">
        <v>13169</v>
      </c>
      <c r="K12" s="938"/>
      <c r="L12" s="239">
        <v>5689</v>
      </c>
      <c r="M12" s="76"/>
      <c r="X12" s="7" t="s">
        <v>602</v>
      </c>
    </row>
    <row r="13" spans="1:24" ht="20.100000000000001" customHeight="1">
      <c r="A13" s="181"/>
      <c r="B13" s="75"/>
      <c r="C13" s="526"/>
      <c r="D13" s="526"/>
      <c r="E13" s="526"/>
      <c r="F13" s="238"/>
      <c r="G13" s="526"/>
      <c r="H13" s="526"/>
      <c r="I13" s="238"/>
      <c r="J13" s="526"/>
      <c r="K13" s="526"/>
      <c r="L13" s="239"/>
      <c r="M13" s="76"/>
      <c r="N13" s="77"/>
      <c r="P13" s="942" t="s">
        <v>325</v>
      </c>
      <c r="Q13" s="942"/>
      <c r="V13" s="78" t="s">
        <v>326</v>
      </c>
    </row>
    <row r="14" spans="1:24" ht="20.100000000000001" customHeight="1">
      <c r="A14" s="935" t="s">
        <v>621</v>
      </c>
      <c r="B14" s="936"/>
      <c r="C14" s="937">
        <v>21264</v>
      </c>
      <c r="D14" s="938"/>
      <c r="E14" s="938"/>
      <c r="F14" s="238">
        <v>10962</v>
      </c>
      <c r="G14" s="937">
        <v>72687</v>
      </c>
      <c r="H14" s="938"/>
      <c r="I14" s="238">
        <v>35732</v>
      </c>
      <c r="J14" s="937">
        <v>15846</v>
      </c>
      <c r="K14" s="938"/>
      <c r="L14" s="239">
        <v>6910</v>
      </c>
      <c r="M14" s="76"/>
      <c r="N14" s="5" t="s">
        <v>327</v>
      </c>
      <c r="O14" s="20"/>
      <c r="P14" s="79"/>
      <c r="Q14" s="5" t="s">
        <v>328</v>
      </c>
      <c r="R14" s="5" t="s">
        <v>329</v>
      </c>
      <c r="T14" s="5" t="s">
        <v>330</v>
      </c>
      <c r="W14" s="5" t="s">
        <v>331</v>
      </c>
    </row>
    <row r="15" spans="1:24" ht="20.100000000000001" customHeight="1">
      <c r="A15" s="181"/>
      <c r="B15" s="75"/>
      <c r="C15" s="240"/>
      <c r="D15" s="240"/>
      <c r="E15" s="240"/>
      <c r="F15" s="238"/>
      <c r="G15" s="240"/>
      <c r="H15" s="240"/>
      <c r="I15" s="238"/>
      <c r="J15" s="240"/>
      <c r="K15" s="240"/>
      <c r="L15" s="239"/>
      <c r="M15" s="76"/>
      <c r="N15" s="59"/>
      <c r="O15" s="79"/>
      <c r="P15" s="928" t="s">
        <v>332</v>
      </c>
      <c r="Q15" s="928"/>
      <c r="V15" s="80" t="s">
        <v>332</v>
      </c>
    </row>
    <row r="16" spans="1:24" ht="20.100000000000001" customHeight="1" thickBot="1">
      <c r="A16" s="932" t="s">
        <v>622</v>
      </c>
      <c r="B16" s="933"/>
      <c r="C16" s="934">
        <v>20910</v>
      </c>
      <c r="D16" s="934"/>
      <c r="E16" s="934"/>
      <c r="F16" s="241">
        <v>10642</v>
      </c>
      <c r="G16" s="934">
        <v>72626</v>
      </c>
      <c r="H16" s="934"/>
      <c r="I16" s="241">
        <v>35553</v>
      </c>
      <c r="J16" s="934">
        <v>19476</v>
      </c>
      <c r="K16" s="934"/>
      <c r="L16" s="242">
        <v>8649</v>
      </c>
      <c r="M16" s="76"/>
    </row>
    <row r="17" spans="1:24" ht="20.100000000000001" customHeight="1">
      <c r="A17" s="5" t="s">
        <v>333</v>
      </c>
      <c r="L17" s="7" t="s">
        <v>617</v>
      </c>
      <c r="M17" s="76"/>
      <c r="N17" s="5" t="s">
        <v>334</v>
      </c>
      <c r="O17" s="79"/>
      <c r="P17" s="77" t="s">
        <v>335</v>
      </c>
      <c r="Q17" s="81"/>
      <c r="U17" s="77" t="s">
        <v>336</v>
      </c>
    </row>
    <row r="18" spans="1:24" ht="20.100000000000001" customHeight="1">
      <c r="H18" s="275"/>
      <c r="M18" s="7"/>
      <c r="N18" s="5" t="s">
        <v>337</v>
      </c>
      <c r="O18" s="20"/>
      <c r="S18" s="20" t="s">
        <v>338</v>
      </c>
      <c r="T18" s="5" t="s">
        <v>339</v>
      </c>
      <c r="U18" s="20"/>
      <c r="W18" s="5" t="s">
        <v>340</v>
      </c>
    </row>
    <row r="19" spans="1:24" ht="20.100000000000001" customHeight="1">
      <c r="A19" s="5"/>
      <c r="N19" s="59"/>
      <c r="Q19" s="80" t="s">
        <v>332</v>
      </c>
      <c r="U19" s="929" t="s">
        <v>325</v>
      </c>
      <c r="V19" s="929"/>
    </row>
    <row r="20" spans="1:24" ht="12" customHeight="1">
      <c r="A20" s="5"/>
      <c r="N20" s="59"/>
      <c r="Q20" s="80"/>
      <c r="U20" s="82"/>
      <c r="V20" s="82"/>
    </row>
    <row r="21" spans="1:24" ht="15" customHeight="1" thickBot="1">
      <c r="A21" s="13" t="s">
        <v>341</v>
      </c>
      <c r="M21" s="79"/>
      <c r="X21" s="7" t="s">
        <v>194</v>
      </c>
    </row>
    <row r="22" spans="1:24" ht="30" customHeight="1">
      <c r="A22" s="182" t="s">
        <v>342</v>
      </c>
      <c r="B22" s="183"/>
      <c r="C22" s="184"/>
      <c r="D22" s="768" t="s">
        <v>343</v>
      </c>
      <c r="E22" s="768"/>
      <c r="F22" s="170" t="s">
        <v>344</v>
      </c>
      <c r="G22" s="170" t="s">
        <v>345</v>
      </c>
      <c r="H22" s="170" t="s">
        <v>346</v>
      </c>
      <c r="I22" s="170" t="s">
        <v>347</v>
      </c>
      <c r="J22" s="170" t="s">
        <v>293</v>
      </c>
      <c r="K22" s="170" t="s">
        <v>294</v>
      </c>
      <c r="L22" s="299" t="s">
        <v>295</v>
      </c>
      <c r="M22" s="397"/>
      <c r="N22" s="398" t="s">
        <v>348</v>
      </c>
      <c r="O22" s="170" t="s">
        <v>349</v>
      </c>
      <c r="P22" s="170" t="s">
        <v>350</v>
      </c>
      <c r="Q22" s="170" t="s">
        <v>351</v>
      </c>
      <c r="R22" s="170" t="s">
        <v>352</v>
      </c>
      <c r="S22" s="170" t="s">
        <v>306</v>
      </c>
      <c r="T22" s="170" t="s">
        <v>307</v>
      </c>
      <c r="U22" s="170" t="s">
        <v>308</v>
      </c>
      <c r="V22" s="170" t="s">
        <v>309</v>
      </c>
      <c r="W22" s="170" t="s">
        <v>353</v>
      </c>
      <c r="X22" s="151" t="s">
        <v>354</v>
      </c>
    </row>
    <row r="23" spans="1:24" ht="24" customHeight="1">
      <c r="A23" s="519" t="s">
        <v>355</v>
      </c>
      <c r="B23" s="925" t="s">
        <v>356</v>
      </c>
      <c r="C23" s="926"/>
      <c r="D23" s="930">
        <f>SUM(F23:X23)</f>
        <v>100.00000000000001</v>
      </c>
      <c r="E23" s="931"/>
      <c r="F23" s="520">
        <f>F24/$D$24*100</f>
        <v>7.5262327953744625</v>
      </c>
      <c r="G23" s="520">
        <f t="shared" ref="G23:L23" si="0">G24/$D$24*100</f>
        <v>6.943173632877139</v>
      </c>
      <c r="H23" s="520">
        <f t="shared" si="0"/>
        <v>6.839994549029532</v>
      </c>
      <c r="I23" s="520">
        <f t="shared" si="0"/>
        <v>6.9266260439581835</v>
      </c>
      <c r="J23" s="520">
        <f t="shared" si="0"/>
        <v>6.1985321315241304</v>
      </c>
      <c r="K23" s="520">
        <f t="shared" si="0"/>
        <v>8.5142211925944675</v>
      </c>
      <c r="L23" s="520">
        <f t="shared" si="0"/>
        <v>8.3331711020694232</v>
      </c>
      <c r="M23" s="83"/>
      <c r="N23" s="525">
        <f>N24/$D$24*100</f>
        <v>7.575875562131329</v>
      </c>
      <c r="O23" s="525">
        <f t="shared" ref="O23:X23" si="1">O24/$D$24*100</f>
        <v>6.8672494013666361</v>
      </c>
      <c r="P23" s="525">
        <f t="shared" si="1"/>
        <v>7.1514785757392882</v>
      </c>
      <c r="Q23" s="525">
        <f t="shared" si="1"/>
        <v>6.0067747775809375</v>
      </c>
      <c r="R23" s="525">
        <f t="shared" si="1"/>
        <v>4.4055522027761018</v>
      </c>
      <c r="S23" s="525">
        <f t="shared" si="1"/>
        <v>4.6128837580547826</v>
      </c>
      <c r="T23" s="525">
        <f t="shared" si="1"/>
        <v>3.7163937936807683</v>
      </c>
      <c r="U23" s="525">
        <f t="shared" si="1"/>
        <v>2.382852804329628</v>
      </c>
      <c r="V23" s="525">
        <f t="shared" si="1"/>
        <v>1.5136176922927171</v>
      </c>
      <c r="W23" s="525">
        <f t="shared" si="1"/>
        <v>2.040220374948897</v>
      </c>
      <c r="X23" s="298">
        <f t="shared" si="1"/>
        <v>2.4451496096715792</v>
      </c>
    </row>
    <row r="24" spans="1:24" s="350" customFormat="1" ht="24" customHeight="1">
      <c r="A24" s="519" t="s">
        <v>357</v>
      </c>
      <c r="B24" s="921" t="s">
        <v>358</v>
      </c>
      <c r="C24" s="922"/>
      <c r="D24" s="920">
        <f t="shared" ref="D24:D36" si="2">SUM(F24:X24)</f>
        <v>102734</v>
      </c>
      <c r="E24" s="923"/>
      <c r="F24" s="523">
        <f t="shared" ref="F24:L24" si="3">F25+F26</f>
        <v>7732</v>
      </c>
      <c r="G24" s="523">
        <f t="shared" si="3"/>
        <v>7133</v>
      </c>
      <c r="H24" s="523">
        <f t="shared" si="3"/>
        <v>7027</v>
      </c>
      <c r="I24" s="523">
        <f t="shared" si="3"/>
        <v>7116</v>
      </c>
      <c r="J24" s="523">
        <f t="shared" si="3"/>
        <v>6368</v>
      </c>
      <c r="K24" s="523">
        <f t="shared" si="3"/>
        <v>8747</v>
      </c>
      <c r="L24" s="523">
        <f t="shared" si="3"/>
        <v>8561</v>
      </c>
      <c r="M24" s="523"/>
      <c r="N24" s="523">
        <f t="shared" ref="N24:X24" si="4">N25+N26</f>
        <v>7783</v>
      </c>
      <c r="O24" s="523">
        <f t="shared" si="4"/>
        <v>7055</v>
      </c>
      <c r="P24" s="523">
        <f t="shared" si="4"/>
        <v>7347</v>
      </c>
      <c r="Q24" s="523">
        <f t="shared" si="4"/>
        <v>6171</v>
      </c>
      <c r="R24" s="523">
        <f t="shared" si="4"/>
        <v>4526</v>
      </c>
      <c r="S24" s="523">
        <f t="shared" si="4"/>
        <v>4739</v>
      </c>
      <c r="T24" s="523">
        <f t="shared" si="4"/>
        <v>3818</v>
      </c>
      <c r="U24" s="523">
        <f t="shared" si="4"/>
        <v>2448</v>
      </c>
      <c r="V24" s="523">
        <f t="shared" si="4"/>
        <v>1555</v>
      </c>
      <c r="W24" s="523">
        <f t="shared" si="4"/>
        <v>2096</v>
      </c>
      <c r="X24" s="154">
        <f t="shared" si="4"/>
        <v>2512</v>
      </c>
    </row>
    <row r="25" spans="1:24" ht="24" customHeight="1">
      <c r="A25" s="175" t="s">
        <v>623</v>
      </c>
      <c r="B25" s="905" t="s">
        <v>15</v>
      </c>
      <c r="C25" s="924"/>
      <c r="D25" s="914">
        <f t="shared" si="2"/>
        <v>50440</v>
      </c>
      <c r="E25" s="915"/>
      <c r="F25" s="522">
        <v>4013</v>
      </c>
      <c r="G25" s="522">
        <v>3646</v>
      </c>
      <c r="H25" s="522">
        <v>3627</v>
      </c>
      <c r="I25" s="522">
        <v>3646</v>
      </c>
      <c r="J25" s="522">
        <v>3060</v>
      </c>
      <c r="K25" s="522">
        <v>4182</v>
      </c>
      <c r="L25" s="522">
        <v>4124</v>
      </c>
      <c r="M25" s="522"/>
      <c r="N25" s="522">
        <v>3850</v>
      </c>
      <c r="O25" s="522">
        <v>3548</v>
      </c>
      <c r="P25" s="522">
        <v>3621</v>
      </c>
      <c r="Q25" s="522">
        <v>3094</v>
      </c>
      <c r="R25" s="522">
        <v>2210</v>
      </c>
      <c r="S25" s="522">
        <v>2325</v>
      </c>
      <c r="T25" s="522">
        <v>1868</v>
      </c>
      <c r="U25" s="522">
        <v>1096</v>
      </c>
      <c r="V25" s="522">
        <v>611</v>
      </c>
      <c r="W25" s="522">
        <v>590</v>
      </c>
      <c r="X25" s="145">
        <v>1329</v>
      </c>
    </row>
    <row r="26" spans="1:24" ht="24" customHeight="1">
      <c r="A26" s="524" t="s">
        <v>359</v>
      </c>
      <c r="B26" s="910" t="s">
        <v>16</v>
      </c>
      <c r="C26" s="911"/>
      <c r="D26" s="914">
        <f t="shared" si="2"/>
        <v>52294</v>
      </c>
      <c r="E26" s="915"/>
      <c r="F26" s="522">
        <v>3719</v>
      </c>
      <c r="G26" s="522">
        <v>3487</v>
      </c>
      <c r="H26" s="522">
        <v>3400</v>
      </c>
      <c r="I26" s="522">
        <v>3470</v>
      </c>
      <c r="J26" s="522">
        <v>3308</v>
      </c>
      <c r="K26" s="522">
        <v>4565</v>
      </c>
      <c r="L26" s="522">
        <v>4437</v>
      </c>
      <c r="M26" s="522"/>
      <c r="N26" s="522">
        <v>3933</v>
      </c>
      <c r="O26" s="522">
        <v>3507</v>
      </c>
      <c r="P26" s="522">
        <v>3726</v>
      </c>
      <c r="Q26" s="522">
        <v>3077</v>
      </c>
      <c r="R26" s="522">
        <v>2316</v>
      </c>
      <c r="S26" s="522">
        <v>2414</v>
      </c>
      <c r="T26" s="522">
        <v>1950</v>
      </c>
      <c r="U26" s="522">
        <v>1352</v>
      </c>
      <c r="V26" s="522">
        <v>944</v>
      </c>
      <c r="W26" s="522">
        <v>1506</v>
      </c>
      <c r="X26" s="145">
        <v>1183</v>
      </c>
    </row>
    <row r="27" spans="1:24" ht="24" customHeight="1">
      <c r="A27" s="519" t="s">
        <v>355</v>
      </c>
      <c r="B27" s="925" t="s">
        <v>356</v>
      </c>
      <c r="C27" s="926"/>
      <c r="D27" s="918">
        <f t="shared" si="2"/>
        <v>100.00000000000001</v>
      </c>
      <c r="E27" s="927"/>
      <c r="F27" s="520">
        <f>F28/$D$28*100</f>
        <v>6.9090703354109895</v>
      </c>
      <c r="G27" s="520">
        <f t="shared" ref="G27:L27" si="5">G28/$D$28*100</f>
        <v>6.8770096842025854</v>
      </c>
      <c r="H27" s="520">
        <f t="shared" si="5"/>
        <v>6.5139699572838969</v>
      </c>
      <c r="I27" s="520">
        <f t="shared" si="5"/>
        <v>6.4121302416807326</v>
      </c>
      <c r="J27" s="520">
        <f t="shared" si="5"/>
        <v>6.0868089279484012</v>
      </c>
      <c r="K27" s="520">
        <f t="shared" si="5"/>
        <v>7.2598515780441115</v>
      </c>
      <c r="L27" s="520">
        <f t="shared" si="5"/>
        <v>8.9562372111005288</v>
      </c>
      <c r="M27" s="83"/>
      <c r="N27" s="520">
        <f>N28/$D$28*100</f>
        <v>7.9189808484757043</v>
      </c>
      <c r="O27" s="520">
        <f t="shared" ref="O27:X27" si="6">O28/$D$28*100</f>
        <v>7.0976624013427765</v>
      </c>
      <c r="P27" s="520">
        <f t="shared" si="6"/>
        <v>6.5601750134371848</v>
      </c>
      <c r="Q27" s="520">
        <f t="shared" si="6"/>
        <v>6.9062414544220125</v>
      </c>
      <c r="R27" s="520">
        <f t="shared" si="6"/>
        <v>5.7869475431168613</v>
      </c>
      <c r="S27" s="520">
        <f t="shared" si="6"/>
        <v>4.2885835792888187</v>
      </c>
      <c r="T27" s="520">
        <f t="shared" si="6"/>
        <v>4.3762788899471001</v>
      </c>
      <c r="U27" s="520">
        <f t="shared" si="6"/>
        <v>3.3776839008382917</v>
      </c>
      <c r="V27" s="520">
        <f t="shared" si="6"/>
        <v>2.1131740987656649</v>
      </c>
      <c r="W27" s="520">
        <f t="shared" si="6"/>
        <v>2.5507076917274092</v>
      </c>
      <c r="X27" s="521">
        <f t="shared" si="6"/>
        <v>8.4866429669303804E-3</v>
      </c>
    </row>
    <row r="28" spans="1:24" s="350" customFormat="1" ht="24" customHeight="1">
      <c r="A28" s="519" t="s">
        <v>357</v>
      </c>
      <c r="B28" s="921" t="s">
        <v>358</v>
      </c>
      <c r="C28" s="922"/>
      <c r="D28" s="920">
        <f t="shared" si="2"/>
        <v>106049</v>
      </c>
      <c r="E28" s="923"/>
      <c r="F28" s="523">
        <f t="shared" ref="F28:L28" si="7">F29+F30</f>
        <v>7327</v>
      </c>
      <c r="G28" s="523">
        <f t="shared" si="7"/>
        <v>7293</v>
      </c>
      <c r="H28" s="523">
        <f t="shared" si="7"/>
        <v>6908</v>
      </c>
      <c r="I28" s="523">
        <f t="shared" si="7"/>
        <v>6800</v>
      </c>
      <c r="J28" s="523">
        <f t="shared" si="7"/>
        <v>6455</v>
      </c>
      <c r="K28" s="523">
        <f t="shared" si="7"/>
        <v>7699</v>
      </c>
      <c r="L28" s="523">
        <f t="shared" si="7"/>
        <v>9498</v>
      </c>
      <c r="M28" s="523"/>
      <c r="N28" s="523">
        <f t="shared" ref="N28:X28" si="8">N29+N30</f>
        <v>8398</v>
      </c>
      <c r="O28" s="523">
        <f t="shared" si="8"/>
        <v>7527</v>
      </c>
      <c r="P28" s="523">
        <f t="shared" si="8"/>
        <v>6957</v>
      </c>
      <c r="Q28" s="523">
        <f t="shared" si="8"/>
        <v>7324</v>
      </c>
      <c r="R28" s="523">
        <f t="shared" si="8"/>
        <v>6137</v>
      </c>
      <c r="S28" s="523">
        <f t="shared" si="8"/>
        <v>4548</v>
      </c>
      <c r="T28" s="523">
        <f t="shared" si="8"/>
        <v>4641</v>
      </c>
      <c r="U28" s="523">
        <f t="shared" si="8"/>
        <v>3582</v>
      </c>
      <c r="V28" s="523">
        <f t="shared" si="8"/>
        <v>2241</v>
      </c>
      <c r="W28" s="523">
        <f t="shared" si="8"/>
        <v>2705</v>
      </c>
      <c r="X28" s="154">
        <f t="shared" si="8"/>
        <v>9</v>
      </c>
    </row>
    <row r="29" spans="1:24" ht="24" customHeight="1">
      <c r="A29" s="519">
        <v>17</v>
      </c>
      <c r="B29" s="905" t="s">
        <v>15</v>
      </c>
      <c r="C29" s="924"/>
      <c r="D29" s="914">
        <f t="shared" si="2"/>
        <v>52128</v>
      </c>
      <c r="E29" s="915"/>
      <c r="F29" s="522">
        <v>3811</v>
      </c>
      <c r="G29" s="522">
        <v>3814</v>
      </c>
      <c r="H29" s="522">
        <v>3583</v>
      </c>
      <c r="I29" s="522">
        <v>3479</v>
      </c>
      <c r="J29" s="522">
        <v>3196</v>
      </c>
      <c r="K29" s="522">
        <v>3739</v>
      </c>
      <c r="L29" s="522">
        <v>4660</v>
      </c>
      <c r="M29" s="522"/>
      <c r="N29" s="522">
        <v>4053</v>
      </c>
      <c r="O29" s="522">
        <v>3688</v>
      </c>
      <c r="P29" s="522">
        <v>3527</v>
      </c>
      <c r="Q29" s="522">
        <v>3596</v>
      </c>
      <c r="R29" s="522">
        <v>3086</v>
      </c>
      <c r="S29" s="522">
        <v>2202</v>
      </c>
      <c r="T29" s="522">
        <v>2241</v>
      </c>
      <c r="U29" s="522">
        <v>1692</v>
      </c>
      <c r="V29" s="522">
        <v>951</v>
      </c>
      <c r="W29" s="522">
        <v>805</v>
      </c>
      <c r="X29" s="145">
        <v>5</v>
      </c>
    </row>
    <row r="30" spans="1:24" ht="24" customHeight="1">
      <c r="A30" s="524" t="s">
        <v>359</v>
      </c>
      <c r="B30" s="910" t="s">
        <v>16</v>
      </c>
      <c r="C30" s="911"/>
      <c r="D30" s="914">
        <f t="shared" si="2"/>
        <v>53921</v>
      </c>
      <c r="E30" s="915"/>
      <c r="F30" s="522">
        <v>3516</v>
      </c>
      <c r="G30" s="522">
        <v>3479</v>
      </c>
      <c r="H30" s="522">
        <v>3325</v>
      </c>
      <c r="I30" s="522">
        <v>3321</v>
      </c>
      <c r="J30" s="522">
        <v>3259</v>
      </c>
      <c r="K30" s="522">
        <v>3960</v>
      </c>
      <c r="L30" s="522">
        <v>4838</v>
      </c>
      <c r="M30" s="522"/>
      <c r="N30" s="522">
        <v>4345</v>
      </c>
      <c r="O30" s="522">
        <v>3839</v>
      </c>
      <c r="P30" s="522">
        <v>3430</v>
      </c>
      <c r="Q30" s="522">
        <v>3728</v>
      </c>
      <c r="R30" s="522">
        <v>3051</v>
      </c>
      <c r="S30" s="522">
        <v>2346</v>
      </c>
      <c r="T30" s="522">
        <v>2400</v>
      </c>
      <c r="U30" s="522">
        <v>1890</v>
      </c>
      <c r="V30" s="522">
        <v>1290</v>
      </c>
      <c r="W30" s="522">
        <v>1900</v>
      </c>
      <c r="X30" s="145">
        <v>4</v>
      </c>
    </row>
    <row r="31" spans="1:24" ht="24" customHeight="1">
      <c r="A31" s="519" t="s">
        <v>355</v>
      </c>
      <c r="B31" s="925" t="s">
        <v>356</v>
      </c>
      <c r="C31" s="926"/>
      <c r="D31" s="918">
        <f>SUM(F31:X31)</f>
        <v>100.00000000000001</v>
      </c>
      <c r="E31" s="927"/>
      <c r="F31" s="520">
        <f>F32/$D$32*100</f>
        <v>6.5074172413480627</v>
      </c>
      <c r="G31" s="520">
        <f t="shared" ref="G31:L31" si="9">G32/$D$32*100</f>
        <v>6.3424889670234075</v>
      </c>
      <c r="H31" s="520">
        <f t="shared" si="9"/>
        <v>6.4195159083288784</v>
      </c>
      <c r="I31" s="520">
        <f t="shared" si="9"/>
        <v>6.0579423838479034</v>
      </c>
      <c r="J31" s="520">
        <f t="shared" si="9"/>
        <v>5.3375139328143835</v>
      </c>
      <c r="K31" s="520">
        <f t="shared" si="9"/>
        <v>6.5916937771293416</v>
      </c>
      <c r="L31" s="520">
        <f t="shared" si="9"/>
        <v>7.2785928537122455</v>
      </c>
      <c r="M31" s="83"/>
      <c r="N31" s="520">
        <f>N32/$D$32*100</f>
        <v>8.5137425125282054</v>
      </c>
      <c r="O31" s="520">
        <f t="shared" ref="O31:X31" si="10">O32/$D$32*100</f>
        <v>7.3746499805167147</v>
      </c>
      <c r="P31" s="520">
        <f t="shared" si="10"/>
        <v>6.6052867667714841</v>
      </c>
      <c r="Q31" s="520">
        <f t="shared" si="10"/>
        <v>6.2038404726735603</v>
      </c>
      <c r="R31" s="520">
        <f t="shared" si="10"/>
        <v>6.4467018876131617</v>
      </c>
      <c r="S31" s="520">
        <f t="shared" si="10"/>
        <v>5.4589446402841846</v>
      </c>
      <c r="T31" s="520">
        <f t="shared" si="10"/>
        <v>3.9555599858632906</v>
      </c>
      <c r="U31" s="520">
        <f t="shared" si="10"/>
        <v>4.019900136836096</v>
      </c>
      <c r="V31" s="520">
        <f t="shared" si="10"/>
        <v>2.9732399343911702</v>
      </c>
      <c r="W31" s="520">
        <f t="shared" si="10"/>
        <v>3.4109342008681391</v>
      </c>
      <c r="X31" s="521">
        <f t="shared" si="10"/>
        <v>0.50203441744977384</v>
      </c>
    </row>
    <row r="32" spans="1:24" s="350" customFormat="1" ht="24" customHeight="1">
      <c r="A32" s="519" t="s">
        <v>357</v>
      </c>
      <c r="B32" s="921" t="s">
        <v>358</v>
      </c>
      <c r="C32" s="922"/>
      <c r="D32" s="920">
        <f t="shared" si="2"/>
        <v>110351</v>
      </c>
      <c r="E32" s="923"/>
      <c r="F32" s="523">
        <f t="shared" ref="F32:L32" si="11">F33+F34</f>
        <v>7181</v>
      </c>
      <c r="G32" s="523">
        <f t="shared" si="11"/>
        <v>6999</v>
      </c>
      <c r="H32" s="523">
        <f t="shared" si="11"/>
        <v>7084</v>
      </c>
      <c r="I32" s="523">
        <f t="shared" si="11"/>
        <v>6685</v>
      </c>
      <c r="J32" s="523">
        <f t="shared" si="11"/>
        <v>5890</v>
      </c>
      <c r="K32" s="523">
        <f t="shared" si="11"/>
        <v>7274</v>
      </c>
      <c r="L32" s="523">
        <f t="shared" si="11"/>
        <v>8032</v>
      </c>
      <c r="M32" s="523"/>
      <c r="N32" s="523">
        <f t="shared" ref="N32:X32" si="12">N33+N34</f>
        <v>9395</v>
      </c>
      <c r="O32" s="523">
        <f t="shared" si="12"/>
        <v>8138</v>
      </c>
      <c r="P32" s="523">
        <f t="shared" si="12"/>
        <v>7289</v>
      </c>
      <c r="Q32" s="523">
        <f t="shared" si="12"/>
        <v>6846</v>
      </c>
      <c r="R32" s="523">
        <f t="shared" si="12"/>
        <v>7114</v>
      </c>
      <c r="S32" s="523">
        <f t="shared" si="12"/>
        <v>6024</v>
      </c>
      <c r="T32" s="523">
        <f t="shared" si="12"/>
        <v>4365</v>
      </c>
      <c r="U32" s="523">
        <f t="shared" si="12"/>
        <v>4436</v>
      </c>
      <c r="V32" s="523">
        <f t="shared" si="12"/>
        <v>3281</v>
      </c>
      <c r="W32" s="523">
        <f t="shared" si="12"/>
        <v>3764</v>
      </c>
      <c r="X32" s="154">
        <f t="shared" si="12"/>
        <v>554</v>
      </c>
    </row>
    <row r="33" spans="1:24" ht="24" customHeight="1">
      <c r="A33" s="519">
        <v>22</v>
      </c>
      <c r="B33" s="905" t="s">
        <v>15</v>
      </c>
      <c r="C33" s="924"/>
      <c r="D33" s="914">
        <f t="shared" si="2"/>
        <v>53948</v>
      </c>
      <c r="E33" s="915"/>
      <c r="F33" s="522">
        <v>3678</v>
      </c>
      <c r="G33" s="522">
        <v>3637</v>
      </c>
      <c r="H33" s="522">
        <v>3647</v>
      </c>
      <c r="I33" s="522">
        <v>3405</v>
      </c>
      <c r="J33" s="522">
        <v>2967</v>
      </c>
      <c r="K33" s="522">
        <v>3500</v>
      </c>
      <c r="L33" s="522">
        <v>3893</v>
      </c>
      <c r="M33" s="522"/>
      <c r="N33" s="522">
        <v>4653</v>
      </c>
      <c r="O33" s="522">
        <v>3925</v>
      </c>
      <c r="P33" s="522">
        <v>3525</v>
      </c>
      <c r="Q33" s="522">
        <v>3420</v>
      </c>
      <c r="R33" s="522">
        <v>3427</v>
      </c>
      <c r="S33" s="522">
        <v>3017</v>
      </c>
      <c r="T33" s="522">
        <v>2094</v>
      </c>
      <c r="U33" s="522">
        <v>2100</v>
      </c>
      <c r="V33" s="522">
        <v>1477</v>
      </c>
      <c r="W33" s="522">
        <v>1239</v>
      </c>
      <c r="X33" s="145">
        <v>344</v>
      </c>
    </row>
    <row r="34" spans="1:24" ht="24" customHeight="1">
      <c r="A34" s="519" t="s">
        <v>359</v>
      </c>
      <c r="B34" s="910" t="s">
        <v>16</v>
      </c>
      <c r="C34" s="911"/>
      <c r="D34" s="914">
        <f t="shared" si="2"/>
        <v>56403</v>
      </c>
      <c r="E34" s="915"/>
      <c r="F34" s="522">
        <v>3503</v>
      </c>
      <c r="G34" s="522">
        <v>3362</v>
      </c>
      <c r="H34" s="522">
        <v>3437</v>
      </c>
      <c r="I34" s="522">
        <v>3280</v>
      </c>
      <c r="J34" s="522">
        <v>2923</v>
      </c>
      <c r="K34" s="522">
        <v>3774</v>
      </c>
      <c r="L34" s="522">
        <v>4139</v>
      </c>
      <c r="M34" s="522"/>
      <c r="N34" s="522">
        <v>4742</v>
      </c>
      <c r="O34" s="522">
        <v>4213</v>
      </c>
      <c r="P34" s="522">
        <v>3764</v>
      </c>
      <c r="Q34" s="522">
        <v>3426</v>
      </c>
      <c r="R34" s="522">
        <v>3687</v>
      </c>
      <c r="S34" s="522">
        <v>3007</v>
      </c>
      <c r="T34" s="522">
        <v>2271</v>
      </c>
      <c r="U34" s="522">
        <v>2336</v>
      </c>
      <c r="V34" s="522">
        <v>1804</v>
      </c>
      <c r="W34" s="522">
        <v>2525</v>
      </c>
      <c r="X34" s="282">
        <v>210</v>
      </c>
    </row>
    <row r="35" spans="1:24" ht="24" customHeight="1">
      <c r="A35" s="164" t="s">
        <v>355</v>
      </c>
      <c r="B35" s="917" t="s">
        <v>356</v>
      </c>
      <c r="C35" s="917"/>
      <c r="D35" s="918">
        <f>SUM(F35:X35)</f>
        <v>100</v>
      </c>
      <c r="E35" s="918"/>
      <c r="F35" s="268">
        <f>F36/$D$36*100</f>
        <v>6.0429651936410114</v>
      </c>
      <c r="G35" s="268">
        <f t="shared" ref="G35:L35" si="13">G36/$D$36*100</f>
        <v>6.1331325723089849</v>
      </c>
      <c r="H35" s="268">
        <f t="shared" si="13"/>
        <v>6.1287555150920934</v>
      </c>
      <c r="I35" s="268">
        <f t="shared" si="13"/>
        <v>6.04384060508439</v>
      </c>
      <c r="J35" s="268">
        <f t="shared" si="13"/>
        <v>5.1097765949996505</v>
      </c>
      <c r="K35" s="268">
        <f t="shared" si="13"/>
        <v>5.6569087471111423</v>
      </c>
      <c r="L35" s="268">
        <f t="shared" si="13"/>
        <v>6.4736676237831778</v>
      </c>
      <c r="M35" s="83">
        <f>M36/$D$36</f>
        <v>0</v>
      </c>
      <c r="N35" s="268">
        <f>N36/$D$36*100</f>
        <v>6.9603963863015625</v>
      </c>
      <c r="O35" s="268">
        <f t="shared" ref="O35:X35" si="14">O36/$D$36*100</f>
        <v>8.0765459766090064</v>
      </c>
      <c r="P35" s="268">
        <f t="shared" si="14"/>
        <v>6.9989144898102111</v>
      </c>
      <c r="Q35" s="268">
        <f t="shared" si="14"/>
        <v>6.307339449541284</v>
      </c>
      <c r="R35" s="268">
        <f t="shared" si="14"/>
        <v>5.8004762238251972</v>
      </c>
      <c r="S35" s="268">
        <f t="shared" si="14"/>
        <v>6.1497653897331741</v>
      </c>
      <c r="T35" s="268">
        <f t="shared" si="14"/>
        <v>5.1325372925274877</v>
      </c>
      <c r="U35" s="268">
        <f t="shared" si="14"/>
        <v>3.6741018278590936</v>
      </c>
      <c r="V35" s="268">
        <f t="shared" si="14"/>
        <v>3.5909377407381466</v>
      </c>
      <c r="W35" s="268">
        <f t="shared" si="14"/>
        <v>4.6519364101127527</v>
      </c>
      <c r="X35" s="249">
        <f t="shared" si="14"/>
        <v>1.0680019609216331</v>
      </c>
    </row>
    <row r="36" spans="1:24" ht="24" customHeight="1">
      <c r="A36" s="130" t="s">
        <v>357</v>
      </c>
      <c r="B36" s="919" t="s">
        <v>358</v>
      </c>
      <c r="C36" s="919"/>
      <c r="D36" s="920">
        <f t="shared" si="2"/>
        <v>114232</v>
      </c>
      <c r="E36" s="920"/>
      <c r="F36" s="84">
        <f t="shared" ref="F36:L36" si="15">SUM(F37:F38)</f>
        <v>6903</v>
      </c>
      <c r="G36" s="48">
        <f t="shared" si="15"/>
        <v>7006</v>
      </c>
      <c r="H36" s="48">
        <f t="shared" si="15"/>
        <v>7001</v>
      </c>
      <c r="I36" s="48">
        <f t="shared" si="15"/>
        <v>6904</v>
      </c>
      <c r="J36" s="48">
        <f t="shared" si="15"/>
        <v>5837</v>
      </c>
      <c r="K36" s="48">
        <f t="shared" si="15"/>
        <v>6462</v>
      </c>
      <c r="L36" s="48">
        <f t="shared" si="15"/>
        <v>7395</v>
      </c>
      <c r="M36" s="48"/>
      <c r="N36" s="48">
        <f t="shared" ref="N36:X36" si="16">SUM(N37:N38)</f>
        <v>7951</v>
      </c>
      <c r="O36" s="48">
        <f t="shared" si="16"/>
        <v>9226</v>
      </c>
      <c r="P36" s="48">
        <f t="shared" si="16"/>
        <v>7995</v>
      </c>
      <c r="Q36" s="48">
        <f t="shared" si="16"/>
        <v>7205</v>
      </c>
      <c r="R36" s="48">
        <f t="shared" si="16"/>
        <v>6626</v>
      </c>
      <c r="S36" s="48">
        <f t="shared" si="16"/>
        <v>7025</v>
      </c>
      <c r="T36" s="48">
        <f t="shared" si="16"/>
        <v>5863</v>
      </c>
      <c r="U36" s="48">
        <f t="shared" si="16"/>
        <v>4197</v>
      </c>
      <c r="V36" s="48">
        <f t="shared" si="16"/>
        <v>4102</v>
      </c>
      <c r="W36" s="48">
        <f t="shared" si="16"/>
        <v>5314</v>
      </c>
      <c r="X36" s="154">
        <f t="shared" si="16"/>
        <v>1220</v>
      </c>
    </row>
    <row r="37" spans="1:24" ht="24" customHeight="1">
      <c r="A37" s="175" t="s">
        <v>624</v>
      </c>
      <c r="B37" s="899" t="s">
        <v>15</v>
      </c>
      <c r="C37" s="899"/>
      <c r="D37" s="914">
        <v>55471</v>
      </c>
      <c r="E37" s="914"/>
      <c r="F37" s="2">
        <v>3447</v>
      </c>
      <c r="G37" s="2">
        <v>3572</v>
      </c>
      <c r="H37" s="2">
        <v>3623</v>
      </c>
      <c r="I37" s="2">
        <v>3504</v>
      </c>
      <c r="J37" s="2">
        <v>2909</v>
      </c>
      <c r="K37" s="2">
        <v>3200</v>
      </c>
      <c r="L37" s="2">
        <v>3568</v>
      </c>
      <c r="M37" s="2"/>
      <c r="N37" s="2">
        <v>3836</v>
      </c>
      <c r="O37" s="2">
        <v>4533</v>
      </c>
      <c r="P37" s="2">
        <v>3878</v>
      </c>
      <c r="Q37" s="2">
        <v>3463</v>
      </c>
      <c r="R37" s="2">
        <v>3288</v>
      </c>
      <c r="S37" s="2">
        <v>3374</v>
      </c>
      <c r="T37" s="2">
        <v>2883</v>
      </c>
      <c r="U37" s="2">
        <v>1973</v>
      </c>
      <c r="V37" s="2">
        <v>1881</v>
      </c>
      <c r="W37" s="2">
        <v>1912</v>
      </c>
      <c r="X37" s="145">
        <v>627</v>
      </c>
    </row>
    <row r="38" spans="1:24" ht="24" customHeight="1" thickBot="1">
      <c r="A38" s="185" t="s">
        <v>359</v>
      </c>
      <c r="B38" s="896" t="s">
        <v>16</v>
      </c>
      <c r="C38" s="896"/>
      <c r="D38" s="916">
        <v>58761</v>
      </c>
      <c r="E38" s="916"/>
      <c r="F38" s="132">
        <v>3456</v>
      </c>
      <c r="G38" s="132">
        <v>3434</v>
      </c>
      <c r="H38" s="132">
        <v>3378</v>
      </c>
      <c r="I38" s="132">
        <v>3400</v>
      </c>
      <c r="J38" s="132">
        <v>2928</v>
      </c>
      <c r="K38" s="132">
        <v>3262</v>
      </c>
      <c r="L38" s="132">
        <v>3827</v>
      </c>
      <c r="M38" s="132"/>
      <c r="N38" s="132">
        <v>4115</v>
      </c>
      <c r="O38" s="132">
        <v>4693</v>
      </c>
      <c r="P38" s="132">
        <v>4117</v>
      </c>
      <c r="Q38" s="132">
        <v>3742</v>
      </c>
      <c r="R38" s="132">
        <v>3338</v>
      </c>
      <c r="S38" s="132">
        <v>3651</v>
      </c>
      <c r="T38" s="132">
        <v>2980</v>
      </c>
      <c r="U38" s="132">
        <v>2224</v>
      </c>
      <c r="V38" s="132">
        <v>2221</v>
      </c>
      <c r="W38" s="132">
        <v>3402</v>
      </c>
      <c r="X38" s="186">
        <v>593</v>
      </c>
    </row>
    <row r="39" spans="1:24" ht="16.5" customHeight="1">
      <c r="W39" s="348"/>
      <c r="X39" s="349" t="s">
        <v>618</v>
      </c>
    </row>
  </sheetData>
  <sheetProtection sheet="1" objects="1" scenarios="1"/>
  <mergeCells count="90">
    <mergeCell ref="Q8:R8"/>
    <mergeCell ref="S8:T8"/>
    <mergeCell ref="S9:T9"/>
    <mergeCell ref="Q9:R9"/>
    <mergeCell ref="N9:P9"/>
    <mergeCell ref="N4:X4"/>
    <mergeCell ref="N1:X1"/>
    <mergeCell ref="U7:V7"/>
    <mergeCell ref="W7:X7"/>
    <mergeCell ref="N7:P7"/>
    <mergeCell ref="Q7:R7"/>
    <mergeCell ref="S7:T7"/>
    <mergeCell ref="U8:V8"/>
    <mergeCell ref="W11:X11"/>
    <mergeCell ref="U11:V11"/>
    <mergeCell ref="J10:K10"/>
    <mergeCell ref="N10:P10"/>
    <mergeCell ref="S11:T11"/>
    <mergeCell ref="U10:V10"/>
    <mergeCell ref="Q10:R10"/>
    <mergeCell ref="S10:T10"/>
    <mergeCell ref="W10:X10"/>
    <mergeCell ref="Q11:R11"/>
    <mergeCell ref="W9:X9"/>
    <mergeCell ref="W8:X8"/>
    <mergeCell ref="N8:P8"/>
    <mergeCell ref="U9:V9"/>
    <mergeCell ref="J9:K9"/>
    <mergeCell ref="G9:H9"/>
    <mergeCell ref="J8:L8"/>
    <mergeCell ref="C8:F8"/>
    <mergeCell ref="A10:B10"/>
    <mergeCell ref="G10:H10"/>
    <mergeCell ref="C10:E10"/>
    <mergeCell ref="A7:B9"/>
    <mergeCell ref="J7:L7"/>
    <mergeCell ref="C9:E9"/>
    <mergeCell ref="C7:F7"/>
    <mergeCell ref="G7:I7"/>
    <mergeCell ref="G8:I8"/>
    <mergeCell ref="P13:Q13"/>
    <mergeCell ref="C14:E14"/>
    <mergeCell ref="G14:H14"/>
    <mergeCell ref="J14:K14"/>
    <mergeCell ref="A14:B14"/>
    <mergeCell ref="A12:B12"/>
    <mergeCell ref="C12:E12"/>
    <mergeCell ref="J12:K12"/>
    <mergeCell ref="N11:P11"/>
    <mergeCell ref="G12:H12"/>
    <mergeCell ref="U19:V19"/>
    <mergeCell ref="D22:E22"/>
    <mergeCell ref="B23:C23"/>
    <mergeCell ref="D23:E23"/>
    <mergeCell ref="A16:B16"/>
    <mergeCell ref="C16:E16"/>
    <mergeCell ref="G16:H16"/>
    <mergeCell ref="J16:K16"/>
    <mergeCell ref="B27:C27"/>
    <mergeCell ref="D27:E27"/>
    <mergeCell ref="B25:C25"/>
    <mergeCell ref="D25:E25"/>
    <mergeCell ref="P15:Q15"/>
    <mergeCell ref="B24:C24"/>
    <mergeCell ref="D24:E24"/>
    <mergeCell ref="B26:C26"/>
    <mergeCell ref="D26:E26"/>
    <mergeCell ref="D30:E30"/>
    <mergeCell ref="B33:C33"/>
    <mergeCell ref="D33:E33"/>
    <mergeCell ref="B29:C29"/>
    <mergeCell ref="D29:E29"/>
    <mergeCell ref="B31:C31"/>
    <mergeCell ref="D31:E31"/>
    <mergeCell ref="A4:L5"/>
    <mergeCell ref="B34:C34"/>
    <mergeCell ref="D34:E34"/>
    <mergeCell ref="B38:C38"/>
    <mergeCell ref="D38:E38"/>
    <mergeCell ref="B35:C35"/>
    <mergeCell ref="D35:E35"/>
    <mergeCell ref="B36:C36"/>
    <mergeCell ref="D36:E36"/>
    <mergeCell ref="B37:C37"/>
    <mergeCell ref="D37:E37"/>
    <mergeCell ref="B28:C28"/>
    <mergeCell ref="D28:E28"/>
    <mergeCell ref="B32:C32"/>
    <mergeCell ref="D32:E32"/>
    <mergeCell ref="B30:C30"/>
  </mergeCells>
  <phoneticPr fontId="17"/>
  <printOptions horizontalCentered="1"/>
  <pageMargins left="0.59055118110236227" right="0.59055118110236227" top="0.59055118110236227" bottom="0.59055118110236227" header="0.39370078740157483" footer="0.39370078740157483"/>
  <pageSetup paperSize="9" firstPageNumber="0" orientation="portrait" verticalDpi="300" r:id="rId1"/>
  <headerFooter scaleWithDoc="0" alignWithMargins="0">
    <oddHeader>&amp;L&amp;"ＭＳ 明朝,標準"&amp;10人　口</oddHeader>
    <oddFooter>&amp;C&amp;"ＭＳ 明朝,標準"&amp;12&amp;A</oddFooter>
  </headerFooter>
  <colBreaks count="1" manualBreakCount="1">
    <brk id="13"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X39"/>
  <sheetViews>
    <sheetView view="pageBreakPreview" topLeftCell="N1" zoomScale="90" zoomScaleNormal="90" zoomScaleSheetLayoutView="90" workbookViewId="0">
      <selection activeCell="M1" sqref="A1:M1048576"/>
    </sheetView>
  </sheetViews>
  <sheetFormatPr defaultRowHeight="16.5" customHeight="1"/>
  <cols>
    <col min="1" max="1" width="3.125" style="6" hidden="1" customWidth="1"/>
    <col min="2" max="2" width="8.375" style="6" hidden="1" customWidth="1"/>
    <col min="3" max="3" width="7.625" style="6" hidden="1" customWidth="1"/>
    <col min="4" max="4" width="1.25" style="6" hidden="1" customWidth="1"/>
    <col min="5" max="5" width="8.375" style="6" hidden="1" customWidth="1"/>
    <col min="6" max="6" width="10" style="6" hidden="1" customWidth="1"/>
    <col min="7" max="12" width="8.375" style="6" hidden="1" customWidth="1"/>
    <col min="13" max="13" width="0.875" style="6" hidden="1" customWidth="1"/>
    <col min="14" max="24" width="8.25" style="6" customWidth="1"/>
    <col min="25" max="16384" width="9" style="6"/>
  </cols>
  <sheetData>
    <row r="1" spans="1:24" ht="5.0999999999999996" customHeight="1">
      <c r="A1" s="37"/>
      <c r="B1" s="5"/>
      <c r="C1" s="5"/>
      <c r="D1" s="5"/>
      <c r="N1" s="883"/>
      <c r="O1" s="883"/>
      <c r="P1" s="883"/>
      <c r="Q1" s="883"/>
      <c r="R1" s="883"/>
      <c r="S1" s="883"/>
      <c r="T1" s="883"/>
      <c r="U1" s="883"/>
      <c r="V1" s="883"/>
      <c r="W1" s="883"/>
      <c r="X1" s="883"/>
    </row>
    <row r="2" spans="1:24" ht="15" customHeight="1">
      <c r="A2" s="37" t="s">
        <v>313</v>
      </c>
      <c r="B2" s="5"/>
      <c r="C2" s="5"/>
      <c r="D2" s="5"/>
      <c r="N2" s="530"/>
      <c r="O2" s="530"/>
      <c r="P2" s="530"/>
      <c r="Q2" s="530"/>
      <c r="R2" s="530"/>
      <c r="S2" s="530"/>
      <c r="T2" s="530"/>
      <c r="U2" s="530"/>
      <c r="V2" s="530"/>
      <c r="W2" s="530"/>
      <c r="X2" s="530"/>
    </row>
    <row r="3" spans="1:24" ht="5.0999999999999996" customHeight="1">
      <c r="A3" s="37"/>
      <c r="B3" s="5"/>
      <c r="C3" s="5"/>
      <c r="D3" s="5"/>
      <c r="N3" s="530"/>
      <c r="O3" s="530"/>
      <c r="P3" s="530"/>
      <c r="Q3" s="530"/>
      <c r="R3" s="530"/>
      <c r="S3" s="530"/>
      <c r="T3" s="530"/>
      <c r="U3" s="530"/>
      <c r="V3" s="530"/>
      <c r="W3" s="530"/>
      <c r="X3" s="530"/>
    </row>
    <row r="4" spans="1:24" s="70" customFormat="1" ht="60" customHeight="1">
      <c r="A4" s="913" t="s">
        <v>655</v>
      </c>
      <c r="B4" s="913"/>
      <c r="C4" s="913"/>
      <c r="D4" s="913"/>
      <c r="E4" s="913"/>
      <c r="F4" s="913"/>
      <c r="G4" s="913"/>
      <c r="H4" s="913"/>
      <c r="I4" s="913"/>
      <c r="J4" s="913"/>
      <c r="K4" s="913"/>
      <c r="L4" s="913"/>
      <c r="M4" s="72"/>
      <c r="N4" s="881" t="s">
        <v>629</v>
      </c>
      <c r="O4" s="881"/>
      <c r="P4" s="881"/>
      <c r="Q4" s="881"/>
      <c r="R4" s="881"/>
      <c r="S4" s="881"/>
      <c r="T4" s="881"/>
      <c r="U4" s="881"/>
      <c r="V4" s="881"/>
      <c r="W4" s="881"/>
      <c r="X4" s="881"/>
    </row>
    <row r="5" spans="1:24" ht="12" customHeight="1">
      <c r="A5" s="913"/>
      <c r="B5" s="913"/>
      <c r="C5" s="913"/>
      <c r="D5" s="913"/>
      <c r="E5" s="913"/>
      <c r="F5" s="913"/>
      <c r="G5" s="913"/>
      <c r="H5" s="913"/>
      <c r="I5" s="913"/>
      <c r="J5" s="913"/>
      <c r="K5" s="913"/>
      <c r="L5" s="913"/>
      <c r="N5" s="5" t="s">
        <v>24</v>
      </c>
    </row>
    <row r="6" spans="1:24" ht="15" customHeight="1" thickBot="1">
      <c r="A6" s="13" t="s">
        <v>314</v>
      </c>
      <c r="L6" s="7" t="s">
        <v>22</v>
      </c>
      <c r="N6" s="5" t="s">
        <v>315</v>
      </c>
      <c r="X6" s="7"/>
    </row>
    <row r="7" spans="1:24" ht="20.100000000000001" customHeight="1">
      <c r="A7" s="858" t="s">
        <v>316</v>
      </c>
      <c r="B7" s="859"/>
      <c r="C7" s="949" t="s">
        <v>468</v>
      </c>
      <c r="D7" s="949"/>
      <c r="E7" s="949"/>
      <c r="F7" s="949"/>
      <c r="G7" s="949" t="s">
        <v>469</v>
      </c>
      <c r="H7" s="949"/>
      <c r="I7" s="949"/>
      <c r="J7" s="949" t="s">
        <v>470</v>
      </c>
      <c r="K7" s="949"/>
      <c r="L7" s="950"/>
      <c r="M7" s="7"/>
      <c r="N7" s="858" t="s">
        <v>317</v>
      </c>
      <c r="O7" s="859"/>
      <c r="P7" s="859"/>
      <c r="Q7" s="859" t="s">
        <v>318</v>
      </c>
      <c r="R7" s="859"/>
      <c r="S7" s="859" t="s">
        <v>319</v>
      </c>
      <c r="T7" s="859"/>
      <c r="U7" s="859" t="s">
        <v>320</v>
      </c>
      <c r="V7" s="859"/>
      <c r="W7" s="859" t="s">
        <v>321</v>
      </c>
      <c r="X7" s="906"/>
    </row>
    <row r="8" spans="1:24" ht="20.100000000000001" customHeight="1">
      <c r="A8" s="860"/>
      <c r="B8" s="861"/>
      <c r="C8" s="943" t="s">
        <v>322</v>
      </c>
      <c r="D8" s="943"/>
      <c r="E8" s="943"/>
      <c r="F8" s="943"/>
      <c r="G8" s="943" t="s">
        <v>23</v>
      </c>
      <c r="H8" s="943"/>
      <c r="I8" s="943"/>
      <c r="J8" s="943" t="s">
        <v>323</v>
      </c>
      <c r="K8" s="943"/>
      <c r="L8" s="944"/>
      <c r="M8" s="73"/>
      <c r="N8" s="962" t="s">
        <v>630</v>
      </c>
      <c r="O8" s="963"/>
      <c r="P8" s="964"/>
      <c r="Q8" s="965">
        <v>32</v>
      </c>
      <c r="R8" s="951"/>
      <c r="S8" s="951">
        <v>14.5</v>
      </c>
      <c r="T8" s="951"/>
      <c r="U8" s="951">
        <v>46.5</v>
      </c>
      <c r="V8" s="951"/>
      <c r="W8" s="951">
        <v>45.3</v>
      </c>
      <c r="X8" s="961"/>
    </row>
    <row r="9" spans="1:24" ht="20.100000000000001" customHeight="1">
      <c r="A9" s="860"/>
      <c r="B9" s="861"/>
      <c r="C9" s="861" t="s">
        <v>451</v>
      </c>
      <c r="D9" s="861"/>
      <c r="E9" s="861"/>
      <c r="F9" s="527" t="s">
        <v>324</v>
      </c>
      <c r="G9" s="861" t="s">
        <v>451</v>
      </c>
      <c r="H9" s="861"/>
      <c r="I9" s="527" t="s">
        <v>324</v>
      </c>
      <c r="J9" s="861" t="s">
        <v>451</v>
      </c>
      <c r="K9" s="861"/>
      <c r="L9" s="180" t="s">
        <v>324</v>
      </c>
      <c r="M9" s="33"/>
      <c r="N9" s="904" t="s">
        <v>626</v>
      </c>
      <c r="O9" s="846"/>
      <c r="P9" s="924"/>
      <c r="Q9" s="966">
        <v>30.2</v>
      </c>
      <c r="R9" s="957"/>
      <c r="S9" s="957">
        <v>18.5</v>
      </c>
      <c r="T9" s="957"/>
      <c r="U9" s="957">
        <v>48.6</v>
      </c>
      <c r="V9" s="957"/>
      <c r="W9" s="957">
        <v>61.2</v>
      </c>
      <c r="X9" s="959"/>
    </row>
    <row r="10" spans="1:24" ht="20.100000000000001" customHeight="1">
      <c r="A10" s="945" t="s">
        <v>619</v>
      </c>
      <c r="B10" s="946"/>
      <c r="C10" s="947">
        <v>21892</v>
      </c>
      <c r="D10" s="948"/>
      <c r="E10" s="948"/>
      <c r="F10" s="238">
        <v>11286</v>
      </c>
      <c r="G10" s="947">
        <v>68413</v>
      </c>
      <c r="H10" s="948"/>
      <c r="I10" s="238">
        <v>33660</v>
      </c>
      <c r="J10" s="947">
        <v>9917</v>
      </c>
      <c r="K10" s="948"/>
      <c r="L10" s="239">
        <v>4165</v>
      </c>
      <c r="M10" s="531"/>
      <c r="N10" s="904" t="s">
        <v>628</v>
      </c>
      <c r="O10" s="846"/>
      <c r="P10" s="924"/>
      <c r="Q10" s="918">
        <v>29.3</v>
      </c>
      <c r="R10" s="918"/>
      <c r="S10" s="957">
        <v>21.8</v>
      </c>
      <c r="T10" s="957"/>
      <c r="U10" s="956">
        <v>51.1</v>
      </c>
      <c r="V10" s="956"/>
      <c r="W10" s="958">
        <v>74.5</v>
      </c>
      <c r="X10" s="959"/>
    </row>
    <row r="11" spans="1:24" ht="20.100000000000001" customHeight="1" thickBot="1">
      <c r="A11" s="543"/>
      <c r="B11" s="544"/>
      <c r="C11" s="541"/>
      <c r="D11" s="541"/>
      <c r="E11" s="541"/>
      <c r="F11" s="238"/>
      <c r="G11" s="541"/>
      <c r="H11" s="541"/>
      <c r="I11" s="238"/>
      <c r="J11" s="541"/>
      <c r="K11" s="541"/>
      <c r="L11" s="239"/>
      <c r="M11" s="76"/>
      <c r="N11" s="939" t="s">
        <v>631</v>
      </c>
      <c r="O11" s="940"/>
      <c r="P11" s="941"/>
      <c r="Q11" s="960">
        <v>28.8</v>
      </c>
      <c r="R11" s="960"/>
      <c r="S11" s="955">
        <v>26.8</v>
      </c>
      <c r="T11" s="955"/>
      <c r="U11" s="954">
        <v>55.6</v>
      </c>
      <c r="V11" s="954"/>
      <c r="W11" s="952">
        <v>93.1</v>
      </c>
      <c r="X11" s="953"/>
    </row>
    <row r="12" spans="1:24" ht="20.100000000000001" customHeight="1">
      <c r="A12" s="935" t="s">
        <v>620</v>
      </c>
      <c r="B12" s="936"/>
      <c r="C12" s="937">
        <v>21528</v>
      </c>
      <c r="D12" s="938"/>
      <c r="E12" s="938"/>
      <c r="F12" s="238">
        <v>11208</v>
      </c>
      <c r="G12" s="937">
        <v>71343</v>
      </c>
      <c r="H12" s="938"/>
      <c r="I12" s="238">
        <v>35226</v>
      </c>
      <c r="J12" s="937">
        <v>13169</v>
      </c>
      <c r="K12" s="938"/>
      <c r="L12" s="239">
        <v>5689</v>
      </c>
      <c r="M12" s="76"/>
      <c r="X12" s="7" t="s">
        <v>602</v>
      </c>
    </row>
    <row r="13" spans="1:24" ht="20.100000000000001" customHeight="1">
      <c r="A13" s="543"/>
      <c r="B13" s="544"/>
      <c r="C13" s="541"/>
      <c r="D13" s="541"/>
      <c r="E13" s="541"/>
      <c r="F13" s="238"/>
      <c r="G13" s="541"/>
      <c r="H13" s="541"/>
      <c r="I13" s="238"/>
      <c r="J13" s="541"/>
      <c r="K13" s="541"/>
      <c r="L13" s="239"/>
      <c r="M13" s="76"/>
      <c r="N13" s="77"/>
      <c r="P13" s="942" t="s">
        <v>325</v>
      </c>
      <c r="Q13" s="942"/>
      <c r="V13" s="78" t="s">
        <v>326</v>
      </c>
    </row>
    <row r="14" spans="1:24" ht="20.100000000000001" customHeight="1">
      <c r="A14" s="935" t="s">
        <v>621</v>
      </c>
      <c r="B14" s="936"/>
      <c r="C14" s="937">
        <v>21264</v>
      </c>
      <c r="D14" s="938"/>
      <c r="E14" s="938"/>
      <c r="F14" s="238">
        <v>10962</v>
      </c>
      <c r="G14" s="937">
        <v>72687</v>
      </c>
      <c r="H14" s="938"/>
      <c r="I14" s="238">
        <v>35732</v>
      </c>
      <c r="J14" s="937">
        <v>15846</v>
      </c>
      <c r="K14" s="938"/>
      <c r="L14" s="239">
        <v>6910</v>
      </c>
      <c r="M14" s="76"/>
      <c r="N14" s="5" t="s">
        <v>327</v>
      </c>
      <c r="O14" s="453"/>
      <c r="P14" s="79"/>
      <c r="Q14" s="5" t="s">
        <v>328</v>
      </c>
      <c r="R14" s="5" t="s">
        <v>329</v>
      </c>
      <c r="T14" s="5" t="s">
        <v>330</v>
      </c>
      <c r="W14" s="5" t="s">
        <v>331</v>
      </c>
    </row>
    <row r="15" spans="1:24" ht="20.100000000000001" customHeight="1">
      <c r="A15" s="543"/>
      <c r="B15" s="544"/>
      <c r="C15" s="541"/>
      <c r="D15" s="541"/>
      <c r="E15" s="541"/>
      <c r="F15" s="238"/>
      <c r="G15" s="541"/>
      <c r="H15" s="541"/>
      <c r="I15" s="238"/>
      <c r="J15" s="541"/>
      <c r="K15" s="541"/>
      <c r="L15" s="239"/>
      <c r="M15" s="76"/>
      <c r="N15" s="59"/>
      <c r="O15" s="79"/>
      <c r="P15" s="928" t="s">
        <v>332</v>
      </c>
      <c r="Q15" s="928"/>
      <c r="V15" s="80" t="s">
        <v>332</v>
      </c>
    </row>
    <row r="16" spans="1:24" ht="20.100000000000001" customHeight="1" thickBot="1">
      <c r="A16" s="932" t="s">
        <v>622</v>
      </c>
      <c r="B16" s="933"/>
      <c r="C16" s="934">
        <v>20910</v>
      </c>
      <c r="D16" s="934"/>
      <c r="E16" s="934"/>
      <c r="F16" s="241">
        <v>10642</v>
      </c>
      <c r="G16" s="934">
        <v>72626</v>
      </c>
      <c r="H16" s="934"/>
      <c r="I16" s="241">
        <v>35553</v>
      </c>
      <c r="J16" s="934">
        <v>19476</v>
      </c>
      <c r="K16" s="934"/>
      <c r="L16" s="242">
        <v>8649</v>
      </c>
      <c r="M16" s="76"/>
    </row>
    <row r="17" spans="1:24" ht="20.100000000000001" customHeight="1">
      <c r="A17" s="5" t="s">
        <v>333</v>
      </c>
      <c r="L17" s="7" t="s">
        <v>602</v>
      </c>
      <c r="M17" s="76"/>
      <c r="N17" s="5" t="s">
        <v>334</v>
      </c>
      <c r="O17" s="79"/>
      <c r="P17" s="77" t="s">
        <v>335</v>
      </c>
      <c r="Q17" s="81"/>
      <c r="U17" s="77" t="s">
        <v>336</v>
      </c>
    </row>
    <row r="18" spans="1:24" ht="20.100000000000001" customHeight="1">
      <c r="H18" s="275"/>
      <c r="M18" s="7"/>
      <c r="N18" s="5" t="s">
        <v>337</v>
      </c>
      <c r="O18" s="453"/>
      <c r="S18" s="453" t="s">
        <v>338</v>
      </c>
      <c r="T18" s="5" t="s">
        <v>339</v>
      </c>
      <c r="U18" s="453"/>
      <c r="W18" s="5" t="s">
        <v>340</v>
      </c>
    </row>
    <row r="19" spans="1:24" ht="20.100000000000001" customHeight="1">
      <c r="A19" s="5"/>
      <c r="N19" s="59"/>
      <c r="Q19" s="80" t="s">
        <v>332</v>
      </c>
      <c r="U19" s="929" t="s">
        <v>325</v>
      </c>
      <c r="V19" s="929"/>
    </row>
    <row r="20" spans="1:24" ht="12" customHeight="1">
      <c r="A20" s="5"/>
      <c r="N20" s="59"/>
      <c r="Q20" s="80"/>
      <c r="U20" s="82"/>
      <c r="V20" s="82"/>
    </row>
    <row r="21" spans="1:24" ht="15" customHeight="1" thickBot="1">
      <c r="A21" s="13" t="s">
        <v>341</v>
      </c>
      <c r="M21" s="79"/>
      <c r="X21" s="7" t="s">
        <v>194</v>
      </c>
    </row>
    <row r="22" spans="1:24" ht="30" customHeight="1">
      <c r="A22" s="182" t="s">
        <v>342</v>
      </c>
      <c r="B22" s="183"/>
      <c r="C22" s="184"/>
      <c r="D22" s="768" t="s">
        <v>343</v>
      </c>
      <c r="E22" s="768"/>
      <c r="F22" s="529" t="s">
        <v>344</v>
      </c>
      <c r="G22" s="529" t="s">
        <v>345</v>
      </c>
      <c r="H22" s="529" t="s">
        <v>346</v>
      </c>
      <c r="I22" s="529" t="s">
        <v>347</v>
      </c>
      <c r="J22" s="529" t="s">
        <v>293</v>
      </c>
      <c r="K22" s="529" t="s">
        <v>294</v>
      </c>
      <c r="L22" s="528" t="s">
        <v>295</v>
      </c>
      <c r="M22" s="397"/>
      <c r="N22" s="398" t="s">
        <v>348</v>
      </c>
      <c r="O22" s="529" t="s">
        <v>349</v>
      </c>
      <c r="P22" s="529" t="s">
        <v>350</v>
      </c>
      <c r="Q22" s="529" t="s">
        <v>351</v>
      </c>
      <c r="R22" s="529" t="s">
        <v>352</v>
      </c>
      <c r="S22" s="529" t="s">
        <v>306</v>
      </c>
      <c r="T22" s="529" t="s">
        <v>307</v>
      </c>
      <c r="U22" s="529" t="s">
        <v>308</v>
      </c>
      <c r="V22" s="529" t="s">
        <v>309</v>
      </c>
      <c r="W22" s="529" t="s">
        <v>353</v>
      </c>
      <c r="X22" s="532" t="s">
        <v>354</v>
      </c>
    </row>
    <row r="23" spans="1:24" ht="24" customHeight="1">
      <c r="A23" s="533" t="s">
        <v>355</v>
      </c>
      <c r="B23" s="925" t="s">
        <v>356</v>
      </c>
      <c r="C23" s="926"/>
      <c r="D23" s="930">
        <f>SUM(F23:X23)</f>
        <v>100.00000000000001</v>
      </c>
      <c r="E23" s="931"/>
      <c r="F23" s="534">
        <f>F24/$D$24*100</f>
        <v>7.5262327953744625</v>
      </c>
      <c r="G23" s="534">
        <f t="shared" ref="G23:L23" si="0">G24/$D$24*100</f>
        <v>6.943173632877139</v>
      </c>
      <c r="H23" s="534">
        <f t="shared" si="0"/>
        <v>6.839994549029532</v>
      </c>
      <c r="I23" s="534">
        <f t="shared" si="0"/>
        <v>6.9266260439581835</v>
      </c>
      <c r="J23" s="534">
        <f t="shared" si="0"/>
        <v>6.1985321315241304</v>
      </c>
      <c r="K23" s="534">
        <f t="shared" si="0"/>
        <v>8.5142211925944675</v>
      </c>
      <c r="L23" s="534">
        <f t="shared" si="0"/>
        <v>8.3331711020694232</v>
      </c>
      <c r="M23" s="83"/>
      <c r="N23" s="540">
        <f>N24/$D$24*100</f>
        <v>7.575875562131329</v>
      </c>
      <c r="O23" s="540">
        <f t="shared" ref="O23:X23" si="1">O24/$D$24*100</f>
        <v>6.8672494013666361</v>
      </c>
      <c r="P23" s="540">
        <f t="shared" si="1"/>
        <v>7.1514785757392882</v>
      </c>
      <c r="Q23" s="540">
        <f t="shared" si="1"/>
        <v>6.0067747775809375</v>
      </c>
      <c r="R23" s="540">
        <f t="shared" si="1"/>
        <v>4.4055522027761018</v>
      </c>
      <c r="S23" s="540">
        <f t="shared" si="1"/>
        <v>4.6128837580547826</v>
      </c>
      <c r="T23" s="540">
        <f t="shared" si="1"/>
        <v>3.7163937936807683</v>
      </c>
      <c r="U23" s="540">
        <f t="shared" si="1"/>
        <v>2.382852804329628</v>
      </c>
      <c r="V23" s="540">
        <f t="shared" si="1"/>
        <v>1.5136176922927171</v>
      </c>
      <c r="W23" s="540">
        <f t="shared" si="1"/>
        <v>2.040220374948897</v>
      </c>
      <c r="X23" s="298">
        <f t="shared" si="1"/>
        <v>2.4451496096715792</v>
      </c>
    </row>
    <row r="24" spans="1:24" ht="24" customHeight="1">
      <c r="A24" s="533" t="s">
        <v>357</v>
      </c>
      <c r="B24" s="921" t="s">
        <v>358</v>
      </c>
      <c r="C24" s="922"/>
      <c r="D24" s="920">
        <f t="shared" ref="D24:D36" si="2">SUM(F24:X24)</f>
        <v>102734</v>
      </c>
      <c r="E24" s="923"/>
      <c r="F24" s="536">
        <f t="shared" ref="F24:L24" si="3">F25+F26</f>
        <v>7732</v>
      </c>
      <c r="G24" s="536">
        <f t="shared" si="3"/>
        <v>7133</v>
      </c>
      <c r="H24" s="536">
        <f t="shared" si="3"/>
        <v>7027</v>
      </c>
      <c r="I24" s="536">
        <f t="shared" si="3"/>
        <v>7116</v>
      </c>
      <c r="J24" s="536">
        <f t="shared" si="3"/>
        <v>6368</v>
      </c>
      <c r="K24" s="536">
        <f t="shared" si="3"/>
        <v>8747</v>
      </c>
      <c r="L24" s="536">
        <f t="shared" si="3"/>
        <v>8561</v>
      </c>
      <c r="M24" s="536"/>
      <c r="N24" s="536">
        <f t="shared" ref="N24:X24" si="4">N25+N26</f>
        <v>7783</v>
      </c>
      <c r="O24" s="536">
        <f t="shared" si="4"/>
        <v>7055</v>
      </c>
      <c r="P24" s="536">
        <f t="shared" si="4"/>
        <v>7347</v>
      </c>
      <c r="Q24" s="536">
        <f t="shared" si="4"/>
        <v>6171</v>
      </c>
      <c r="R24" s="536">
        <f t="shared" si="4"/>
        <v>4526</v>
      </c>
      <c r="S24" s="536">
        <f t="shared" si="4"/>
        <v>4739</v>
      </c>
      <c r="T24" s="536">
        <f t="shared" si="4"/>
        <v>3818</v>
      </c>
      <c r="U24" s="536">
        <f t="shared" si="4"/>
        <v>2448</v>
      </c>
      <c r="V24" s="536">
        <f t="shared" si="4"/>
        <v>1555</v>
      </c>
      <c r="W24" s="536">
        <f t="shared" si="4"/>
        <v>2096</v>
      </c>
      <c r="X24" s="154">
        <f t="shared" si="4"/>
        <v>2512</v>
      </c>
    </row>
    <row r="25" spans="1:24" ht="24" customHeight="1">
      <c r="A25" s="175" t="s">
        <v>623</v>
      </c>
      <c r="B25" s="905" t="s">
        <v>15</v>
      </c>
      <c r="C25" s="924"/>
      <c r="D25" s="914">
        <f t="shared" si="2"/>
        <v>50440</v>
      </c>
      <c r="E25" s="915"/>
      <c r="F25" s="537">
        <v>4013</v>
      </c>
      <c r="G25" s="537">
        <v>3646</v>
      </c>
      <c r="H25" s="537">
        <v>3627</v>
      </c>
      <c r="I25" s="537">
        <v>3646</v>
      </c>
      <c r="J25" s="537">
        <v>3060</v>
      </c>
      <c r="K25" s="537">
        <v>4182</v>
      </c>
      <c r="L25" s="537">
        <v>4124</v>
      </c>
      <c r="M25" s="537"/>
      <c r="N25" s="537">
        <v>3850</v>
      </c>
      <c r="O25" s="537">
        <v>3548</v>
      </c>
      <c r="P25" s="537">
        <v>3621</v>
      </c>
      <c r="Q25" s="537">
        <v>3094</v>
      </c>
      <c r="R25" s="537">
        <v>2210</v>
      </c>
      <c r="S25" s="537">
        <v>2325</v>
      </c>
      <c r="T25" s="537">
        <v>1868</v>
      </c>
      <c r="U25" s="537">
        <v>1096</v>
      </c>
      <c r="V25" s="537">
        <v>611</v>
      </c>
      <c r="W25" s="537">
        <v>590</v>
      </c>
      <c r="X25" s="145">
        <v>1329</v>
      </c>
    </row>
    <row r="26" spans="1:24" ht="24" customHeight="1">
      <c r="A26" s="538" t="s">
        <v>359</v>
      </c>
      <c r="B26" s="910" t="s">
        <v>16</v>
      </c>
      <c r="C26" s="911"/>
      <c r="D26" s="914">
        <f t="shared" si="2"/>
        <v>52294</v>
      </c>
      <c r="E26" s="915"/>
      <c r="F26" s="537">
        <v>3719</v>
      </c>
      <c r="G26" s="537">
        <v>3487</v>
      </c>
      <c r="H26" s="537">
        <v>3400</v>
      </c>
      <c r="I26" s="537">
        <v>3470</v>
      </c>
      <c r="J26" s="537">
        <v>3308</v>
      </c>
      <c r="K26" s="537">
        <v>4565</v>
      </c>
      <c r="L26" s="537">
        <v>4437</v>
      </c>
      <c r="M26" s="537"/>
      <c r="N26" s="537">
        <v>3933</v>
      </c>
      <c r="O26" s="537">
        <v>3507</v>
      </c>
      <c r="P26" s="537">
        <v>3726</v>
      </c>
      <c r="Q26" s="537">
        <v>3077</v>
      </c>
      <c r="R26" s="537">
        <v>2316</v>
      </c>
      <c r="S26" s="537">
        <v>2414</v>
      </c>
      <c r="T26" s="537">
        <v>1950</v>
      </c>
      <c r="U26" s="537">
        <v>1352</v>
      </c>
      <c r="V26" s="537">
        <v>944</v>
      </c>
      <c r="W26" s="537">
        <v>1506</v>
      </c>
      <c r="X26" s="145">
        <v>1183</v>
      </c>
    </row>
    <row r="27" spans="1:24" ht="24" customHeight="1">
      <c r="A27" s="533" t="s">
        <v>355</v>
      </c>
      <c r="B27" s="925" t="s">
        <v>356</v>
      </c>
      <c r="C27" s="926"/>
      <c r="D27" s="918">
        <f t="shared" si="2"/>
        <v>100.00000000000001</v>
      </c>
      <c r="E27" s="927"/>
      <c r="F27" s="534">
        <f>F28/$D$28*100</f>
        <v>6.9090703354109895</v>
      </c>
      <c r="G27" s="534">
        <f t="shared" ref="G27:L27" si="5">G28/$D$28*100</f>
        <v>6.8770096842025854</v>
      </c>
      <c r="H27" s="534">
        <f t="shared" si="5"/>
        <v>6.5139699572838969</v>
      </c>
      <c r="I27" s="534">
        <f t="shared" si="5"/>
        <v>6.4121302416807326</v>
      </c>
      <c r="J27" s="534">
        <f t="shared" si="5"/>
        <v>6.0868089279484012</v>
      </c>
      <c r="K27" s="534">
        <f t="shared" si="5"/>
        <v>7.2598515780441115</v>
      </c>
      <c r="L27" s="534">
        <f t="shared" si="5"/>
        <v>8.9562372111005288</v>
      </c>
      <c r="M27" s="83"/>
      <c r="N27" s="534">
        <f>N28/$D$28*100</f>
        <v>7.9189808484757043</v>
      </c>
      <c r="O27" s="534">
        <f t="shared" ref="O27:X27" si="6">O28/$D$28*100</f>
        <v>7.0976624013427765</v>
      </c>
      <c r="P27" s="534">
        <f t="shared" si="6"/>
        <v>6.5601750134371848</v>
      </c>
      <c r="Q27" s="534">
        <f t="shared" si="6"/>
        <v>6.9062414544220125</v>
      </c>
      <c r="R27" s="534">
        <f t="shared" si="6"/>
        <v>5.7869475431168613</v>
      </c>
      <c r="S27" s="534">
        <f t="shared" si="6"/>
        <v>4.2885835792888187</v>
      </c>
      <c r="T27" s="534">
        <f t="shared" si="6"/>
        <v>4.3762788899471001</v>
      </c>
      <c r="U27" s="534">
        <f t="shared" si="6"/>
        <v>3.3776839008382917</v>
      </c>
      <c r="V27" s="534">
        <f t="shared" si="6"/>
        <v>2.1131740987656649</v>
      </c>
      <c r="W27" s="534">
        <f t="shared" si="6"/>
        <v>2.5507076917274092</v>
      </c>
      <c r="X27" s="535">
        <f t="shared" si="6"/>
        <v>8.4866429669303804E-3</v>
      </c>
    </row>
    <row r="28" spans="1:24" ht="24" customHeight="1">
      <c r="A28" s="533" t="s">
        <v>357</v>
      </c>
      <c r="B28" s="921" t="s">
        <v>358</v>
      </c>
      <c r="C28" s="922"/>
      <c r="D28" s="920">
        <f t="shared" si="2"/>
        <v>106049</v>
      </c>
      <c r="E28" s="923"/>
      <c r="F28" s="536">
        <f t="shared" ref="F28:L28" si="7">F29+F30</f>
        <v>7327</v>
      </c>
      <c r="G28" s="536">
        <f t="shared" si="7"/>
        <v>7293</v>
      </c>
      <c r="H28" s="536">
        <f t="shared" si="7"/>
        <v>6908</v>
      </c>
      <c r="I28" s="536">
        <f t="shared" si="7"/>
        <v>6800</v>
      </c>
      <c r="J28" s="536">
        <f t="shared" si="7"/>
        <v>6455</v>
      </c>
      <c r="K28" s="536">
        <f t="shared" si="7"/>
        <v>7699</v>
      </c>
      <c r="L28" s="536">
        <f t="shared" si="7"/>
        <v>9498</v>
      </c>
      <c r="M28" s="536"/>
      <c r="N28" s="536">
        <f t="shared" ref="N28:X28" si="8">N29+N30</f>
        <v>8398</v>
      </c>
      <c r="O28" s="536">
        <f t="shared" si="8"/>
        <v>7527</v>
      </c>
      <c r="P28" s="536">
        <f t="shared" si="8"/>
        <v>6957</v>
      </c>
      <c r="Q28" s="536">
        <f t="shared" si="8"/>
        <v>7324</v>
      </c>
      <c r="R28" s="536">
        <f t="shared" si="8"/>
        <v>6137</v>
      </c>
      <c r="S28" s="536">
        <f t="shared" si="8"/>
        <v>4548</v>
      </c>
      <c r="T28" s="536">
        <f t="shared" si="8"/>
        <v>4641</v>
      </c>
      <c r="U28" s="536">
        <f t="shared" si="8"/>
        <v>3582</v>
      </c>
      <c r="V28" s="536">
        <f t="shared" si="8"/>
        <v>2241</v>
      </c>
      <c r="W28" s="536">
        <f t="shared" si="8"/>
        <v>2705</v>
      </c>
      <c r="X28" s="154">
        <f t="shared" si="8"/>
        <v>9</v>
      </c>
    </row>
    <row r="29" spans="1:24" ht="24" customHeight="1">
      <c r="A29" s="533">
        <v>17</v>
      </c>
      <c r="B29" s="905" t="s">
        <v>15</v>
      </c>
      <c r="C29" s="924"/>
      <c r="D29" s="914">
        <f t="shared" si="2"/>
        <v>52128</v>
      </c>
      <c r="E29" s="915"/>
      <c r="F29" s="537">
        <v>3811</v>
      </c>
      <c r="G29" s="537">
        <v>3814</v>
      </c>
      <c r="H29" s="537">
        <v>3583</v>
      </c>
      <c r="I29" s="537">
        <v>3479</v>
      </c>
      <c r="J29" s="537">
        <v>3196</v>
      </c>
      <c r="K29" s="537">
        <v>3739</v>
      </c>
      <c r="L29" s="537">
        <v>4660</v>
      </c>
      <c r="M29" s="537"/>
      <c r="N29" s="537">
        <v>4053</v>
      </c>
      <c r="O29" s="537">
        <v>3688</v>
      </c>
      <c r="P29" s="537">
        <v>3527</v>
      </c>
      <c r="Q29" s="537">
        <v>3596</v>
      </c>
      <c r="R29" s="537">
        <v>3086</v>
      </c>
      <c r="S29" s="537">
        <v>2202</v>
      </c>
      <c r="T29" s="537">
        <v>2241</v>
      </c>
      <c r="U29" s="537">
        <v>1692</v>
      </c>
      <c r="V29" s="537">
        <v>951</v>
      </c>
      <c r="W29" s="537">
        <v>805</v>
      </c>
      <c r="X29" s="145">
        <v>5</v>
      </c>
    </row>
    <row r="30" spans="1:24" ht="24" customHeight="1">
      <c r="A30" s="538" t="s">
        <v>359</v>
      </c>
      <c r="B30" s="910" t="s">
        <v>16</v>
      </c>
      <c r="C30" s="911"/>
      <c r="D30" s="914">
        <f t="shared" si="2"/>
        <v>53921</v>
      </c>
      <c r="E30" s="915"/>
      <c r="F30" s="537">
        <v>3516</v>
      </c>
      <c r="G30" s="537">
        <v>3479</v>
      </c>
      <c r="H30" s="537">
        <v>3325</v>
      </c>
      <c r="I30" s="537">
        <v>3321</v>
      </c>
      <c r="J30" s="537">
        <v>3259</v>
      </c>
      <c r="K30" s="537">
        <v>3960</v>
      </c>
      <c r="L30" s="537">
        <v>4838</v>
      </c>
      <c r="M30" s="537"/>
      <c r="N30" s="537">
        <v>4345</v>
      </c>
      <c r="O30" s="537">
        <v>3839</v>
      </c>
      <c r="P30" s="537">
        <v>3430</v>
      </c>
      <c r="Q30" s="537">
        <v>3728</v>
      </c>
      <c r="R30" s="537">
        <v>3051</v>
      </c>
      <c r="S30" s="537">
        <v>2346</v>
      </c>
      <c r="T30" s="537">
        <v>2400</v>
      </c>
      <c r="U30" s="537">
        <v>1890</v>
      </c>
      <c r="V30" s="537">
        <v>1290</v>
      </c>
      <c r="W30" s="537">
        <v>1900</v>
      </c>
      <c r="X30" s="145">
        <v>4</v>
      </c>
    </row>
    <row r="31" spans="1:24" ht="24" customHeight="1">
      <c r="A31" s="533" t="s">
        <v>355</v>
      </c>
      <c r="B31" s="925" t="s">
        <v>356</v>
      </c>
      <c r="C31" s="926"/>
      <c r="D31" s="918">
        <f>SUM(F31:X31)</f>
        <v>100.00000000000001</v>
      </c>
      <c r="E31" s="927"/>
      <c r="F31" s="534">
        <f>F32/$D$32*100</f>
        <v>6.5074172413480627</v>
      </c>
      <c r="G31" s="534">
        <f t="shared" ref="G31:L31" si="9">G32/$D$32*100</f>
        <v>6.3424889670234075</v>
      </c>
      <c r="H31" s="534">
        <f t="shared" si="9"/>
        <v>6.4195159083288784</v>
      </c>
      <c r="I31" s="534">
        <f t="shared" si="9"/>
        <v>6.0579423838479034</v>
      </c>
      <c r="J31" s="534">
        <f t="shared" si="9"/>
        <v>5.3375139328143835</v>
      </c>
      <c r="K31" s="534">
        <f t="shared" si="9"/>
        <v>6.5916937771293416</v>
      </c>
      <c r="L31" s="534">
        <f t="shared" si="9"/>
        <v>7.2785928537122455</v>
      </c>
      <c r="M31" s="83"/>
      <c r="N31" s="534">
        <f>N32/$D$32*100</f>
        <v>8.5137425125282054</v>
      </c>
      <c r="O31" s="534">
        <f t="shared" ref="O31:X31" si="10">O32/$D$32*100</f>
        <v>7.3746499805167147</v>
      </c>
      <c r="P31" s="534">
        <f t="shared" si="10"/>
        <v>6.6052867667714841</v>
      </c>
      <c r="Q31" s="534">
        <f t="shared" si="10"/>
        <v>6.2038404726735603</v>
      </c>
      <c r="R31" s="534">
        <f t="shared" si="10"/>
        <v>6.4467018876131617</v>
      </c>
      <c r="S31" s="534">
        <f t="shared" si="10"/>
        <v>5.4589446402841846</v>
      </c>
      <c r="T31" s="534">
        <f t="shared" si="10"/>
        <v>3.9555599858632906</v>
      </c>
      <c r="U31" s="534">
        <f t="shared" si="10"/>
        <v>4.019900136836096</v>
      </c>
      <c r="V31" s="534">
        <f t="shared" si="10"/>
        <v>2.9732399343911702</v>
      </c>
      <c r="W31" s="534">
        <f t="shared" si="10"/>
        <v>3.4109342008681391</v>
      </c>
      <c r="X31" s="535">
        <f t="shared" si="10"/>
        <v>0.50203441744977384</v>
      </c>
    </row>
    <row r="32" spans="1:24" ht="24" customHeight="1">
      <c r="A32" s="533" t="s">
        <v>357</v>
      </c>
      <c r="B32" s="921" t="s">
        <v>358</v>
      </c>
      <c r="C32" s="922"/>
      <c r="D32" s="920">
        <f t="shared" si="2"/>
        <v>110351</v>
      </c>
      <c r="E32" s="923"/>
      <c r="F32" s="536">
        <f t="shared" ref="F32:L32" si="11">F33+F34</f>
        <v>7181</v>
      </c>
      <c r="G32" s="536">
        <f t="shared" si="11"/>
        <v>6999</v>
      </c>
      <c r="H32" s="536">
        <f t="shared" si="11"/>
        <v>7084</v>
      </c>
      <c r="I32" s="536">
        <f t="shared" si="11"/>
        <v>6685</v>
      </c>
      <c r="J32" s="536">
        <f t="shared" si="11"/>
        <v>5890</v>
      </c>
      <c r="K32" s="536">
        <f t="shared" si="11"/>
        <v>7274</v>
      </c>
      <c r="L32" s="536">
        <f t="shared" si="11"/>
        <v>8032</v>
      </c>
      <c r="M32" s="536"/>
      <c r="N32" s="536">
        <f t="shared" ref="N32:X32" si="12">N33+N34</f>
        <v>9395</v>
      </c>
      <c r="O32" s="536">
        <f t="shared" si="12"/>
        <v>8138</v>
      </c>
      <c r="P32" s="536">
        <f t="shared" si="12"/>
        <v>7289</v>
      </c>
      <c r="Q32" s="536">
        <f t="shared" si="12"/>
        <v>6846</v>
      </c>
      <c r="R32" s="536">
        <f t="shared" si="12"/>
        <v>7114</v>
      </c>
      <c r="S32" s="536">
        <f t="shared" si="12"/>
        <v>6024</v>
      </c>
      <c r="T32" s="536">
        <f t="shared" si="12"/>
        <v>4365</v>
      </c>
      <c r="U32" s="536">
        <f t="shared" si="12"/>
        <v>4436</v>
      </c>
      <c r="V32" s="536">
        <f t="shared" si="12"/>
        <v>3281</v>
      </c>
      <c r="W32" s="536">
        <f t="shared" si="12"/>
        <v>3764</v>
      </c>
      <c r="X32" s="154">
        <f t="shared" si="12"/>
        <v>554</v>
      </c>
    </row>
    <row r="33" spans="1:24" ht="24" customHeight="1">
      <c r="A33" s="533">
        <v>22</v>
      </c>
      <c r="B33" s="905" t="s">
        <v>15</v>
      </c>
      <c r="C33" s="924"/>
      <c r="D33" s="914">
        <f t="shared" si="2"/>
        <v>53948</v>
      </c>
      <c r="E33" s="915"/>
      <c r="F33" s="537">
        <v>3678</v>
      </c>
      <c r="G33" s="537">
        <v>3637</v>
      </c>
      <c r="H33" s="537">
        <v>3647</v>
      </c>
      <c r="I33" s="537">
        <v>3405</v>
      </c>
      <c r="J33" s="537">
        <v>2967</v>
      </c>
      <c r="K33" s="537">
        <v>3500</v>
      </c>
      <c r="L33" s="537">
        <v>3893</v>
      </c>
      <c r="M33" s="537"/>
      <c r="N33" s="537">
        <v>4653</v>
      </c>
      <c r="O33" s="537">
        <v>3925</v>
      </c>
      <c r="P33" s="537">
        <v>3525</v>
      </c>
      <c r="Q33" s="537">
        <v>3420</v>
      </c>
      <c r="R33" s="537">
        <v>3427</v>
      </c>
      <c r="S33" s="537">
        <v>3017</v>
      </c>
      <c r="T33" s="537">
        <v>2094</v>
      </c>
      <c r="U33" s="537">
        <v>2100</v>
      </c>
      <c r="V33" s="537">
        <v>1477</v>
      </c>
      <c r="W33" s="537">
        <v>1239</v>
      </c>
      <c r="X33" s="145">
        <v>344</v>
      </c>
    </row>
    <row r="34" spans="1:24" ht="24" customHeight="1">
      <c r="A34" s="533" t="s">
        <v>359</v>
      </c>
      <c r="B34" s="910" t="s">
        <v>16</v>
      </c>
      <c r="C34" s="911"/>
      <c r="D34" s="914">
        <f t="shared" si="2"/>
        <v>56403</v>
      </c>
      <c r="E34" s="915"/>
      <c r="F34" s="537">
        <v>3503</v>
      </c>
      <c r="G34" s="537">
        <v>3362</v>
      </c>
      <c r="H34" s="537">
        <v>3437</v>
      </c>
      <c r="I34" s="537">
        <v>3280</v>
      </c>
      <c r="J34" s="537">
        <v>2923</v>
      </c>
      <c r="K34" s="537">
        <v>3774</v>
      </c>
      <c r="L34" s="537">
        <v>4139</v>
      </c>
      <c r="M34" s="537"/>
      <c r="N34" s="537">
        <v>4742</v>
      </c>
      <c r="O34" s="537">
        <v>4213</v>
      </c>
      <c r="P34" s="537">
        <v>3764</v>
      </c>
      <c r="Q34" s="537">
        <v>3426</v>
      </c>
      <c r="R34" s="537">
        <v>3687</v>
      </c>
      <c r="S34" s="537">
        <v>3007</v>
      </c>
      <c r="T34" s="537">
        <v>2271</v>
      </c>
      <c r="U34" s="537">
        <v>2336</v>
      </c>
      <c r="V34" s="537">
        <v>1804</v>
      </c>
      <c r="W34" s="537">
        <v>2525</v>
      </c>
      <c r="X34" s="282">
        <v>210</v>
      </c>
    </row>
    <row r="35" spans="1:24" ht="24" customHeight="1">
      <c r="A35" s="542" t="s">
        <v>355</v>
      </c>
      <c r="B35" s="917" t="s">
        <v>356</v>
      </c>
      <c r="C35" s="917"/>
      <c r="D35" s="918">
        <f>SUM(F35:X35)</f>
        <v>100</v>
      </c>
      <c r="E35" s="918"/>
      <c r="F35" s="534">
        <f>F36/$D$36*100</f>
        <v>6.0429651936410114</v>
      </c>
      <c r="G35" s="534">
        <f t="shared" ref="G35:L35" si="13">G36/$D$36*100</f>
        <v>6.1331325723089849</v>
      </c>
      <c r="H35" s="534">
        <f t="shared" si="13"/>
        <v>6.1287555150920934</v>
      </c>
      <c r="I35" s="534">
        <f t="shared" si="13"/>
        <v>6.04384060508439</v>
      </c>
      <c r="J35" s="534">
        <f t="shared" si="13"/>
        <v>5.1097765949996505</v>
      </c>
      <c r="K35" s="534">
        <f t="shared" si="13"/>
        <v>5.6569087471111423</v>
      </c>
      <c r="L35" s="534">
        <f t="shared" si="13"/>
        <v>6.4736676237831778</v>
      </c>
      <c r="M35" s="83">
        <f>M36/$D$36</f>
        <v>0</v>
      </c>
      <c r="N35" s="534">
        <f>N36/$D$36*100</f>
        <v>6.9603963863015625</v>
      </c>
      <c r="O35" s="534">
        <f t="shared" ref="O35:X35" si="14">O36/$D$36*100</f>
        <v>8.0765459766090064</v>
      </c>
      <c r="P35" s="534">
        <f t="shared" si="14"/>
        <v>6.9989144898102111</v>
      </c>
      <c r="Q35" s="534">
        <f t="shared" si="14"/>
        <v>6.307339449541284</v>
      </c>
      <c r="R35" s="534">
        <f t="shared" si="14"/>
        <v>5.8004762238251972</v>
      </c>
      <c r="S35" s="534">
        <f t="shared" si="14"/>
        <v>6.1497653897331741</v>
      </c>
      <c r="T35" s="534">
        <f t="shared" si="14"/>
        <v>5.1325372925274877</v>
      </c>
      <c r="U35" s="534">
        <f t="shared" si="14"/>
        <v>3.6741018278590936</v>
      </c>
      <c r="V35" s="534">
        <f t="shared" si="14"/>
        <v>3.5909377407381466</v>
      </c>
      <c r="W35" s="534">
        <f t="shared" si="14"/>
        <v>4.6519364101127527</v>
      </c>
      <c r="X35" s="535">
        <f t="shared" si="14"/>
        <v>1.0680019609216331</v>
      </c>
    </row>
    <row r="36" spans="1:24" ht="24" customHeight="1">
      <c r="A36" s="533" t="s">
        <v>357</v>
      </c>
      <c r="B36" s="919" t="s">
        <v>358</v>
      </c>
      <c r="C36" s="919"/>
      <c r="D36" s="920">
        <f t="shared" si="2"/>
        <v>114232</v>
      </c>
      <c r="E36" s="920"/>
      <c r="F36" s="84">
        <f t="shared" ref="F36:L36" si="15">SUM(F37:F38)</f>
        <v>6903</v>
      </c>
      <c r="G36" s="536">
        <f t="shared" si="15"/>
        <v>7006</v>
      </c>
      <c r="H36" s="536">
        <f t="shared" si="15"/>
        <v>7001</v>
      </c>
      <c r="I36" s="536">
        <f t="shared" si="15"/>
        <v>6904</v>
      </c>
      <c r="J36" s="536">
        <f t="shared" si="15"/>
        <v>5837</v>
      </c>
      <c r="K36" s="536">
        <f t="shared" si="15"/>
        <v>6462</v>
      </c>
      <c r="L36" s="536">
        <f t="shared" si="15"/>
        <v>7395</v>
      </c>
      <c r="M36" s="536"/>
      <c r="N36" s="536">
        <f t="shared" ref="N36:X36" si="16">SUM(N37:N38)</f>
        <v>7951</v>
      </c>
      <c r="O36" s="536">
        <f t="shared" si="16"/>
        <v>9226</v>
      </c>
      <c r="P36" s="536">
        <f t="shared" si="16"/>
        <v>7995</v>
      </c>
      <c r="Q36" s="536">
        <f t="shared" si="16"/>
        <v>7205</v>
      </c>
      <c r="R36" s="536">
        <f t="shared" si="16"/>
        <v>6626</v>
      </c>
      <c r="S36" s="536">
        <f t="shared" si="16"/>
        <v>7025</v>
      </c>
      <c r="T36" s="536">
        <f t="shared" si="16"/>
        <v>5863</v>
      </c>
      <c r="U36" s="536">
        <f t="shared" si="16"/>
        <v>4197</v>
      </c>
      <c r="V36" s="536">
        <f t="shared" si="16"/>
        <v>4102</v>
      </c>
      <c r="W36" s="536">
        <f t="shared" si="16"/>
        <v>5314</v>
      </c>
      <c r="X36" s="154">
        <f t="shared" si="16"/>
        <v>1220</v>
      </c>
    </row>
    <row r="37" spans="1:24" ht="24" customHeight="1">
      <c r="A37" s="175" t="s">
        <v>612</v>
      </c>
      <c r="B37" s="899" t="s">
        <v>15</v>
      </c>
      <c r="C37" s="899"/>
      <c r="D37" s="914">
        <v>55471</v>
      </c>
      <c r="E37" s="914"/>
      <c r="F37" s="537">
        <v>3447</v>
      </c>
      <c r="G37" s="537">
        <v>3572</v>
      </c>
      <c r="H37" s="537">
        <v>3623</v>
      </c>
      <c r="I37" s="537">
        <v>3504</v>
      </c>
      <c r="J37" s="537">
        <v>2909</v>
      </c>
      <c r="K37" s="537">
        <v>3200</v>
      </c>
      <c r="L37" s="537">
        <v>3568</v>
      </c>
      <c r="M37" s="537"/>
      <c r="N37" s="537">
        <v>3836</v>
      </c>
      <c r="O37" s="537">
        <v>4533</v>
      </c>
      <c r="P37" s="537">
        <v>3878</v>
      </c>
      <c r="Q37" s="537">
        <v>3463</v>
      </c>
      <c r="R37" s="537">
        <v>3288</v>
      </c>
      <c r="S37" s="537">
        <v>3374</v>
      </c>
      <c r="T37" s="537">
        <v>2883</v>
      </c>
      <c r="U37" s="537">
        <v>1973</v>
      </c>
      <c r="V37" s="537">
        <v>1881</v>
      </c>
      <c r="W37" s="537">
        <v>1912</v>
      </c>
      <c r="X37" s="145">
        <v>627</v>
      </c>
    </row>
    <row r="38" spans="1:24" ht="24" customHeight="1" thickBot="1">
      <c r="A38" s="185" t="s">
        <v>359</v>
      </c>
      <c r="B38" s="896" t="s">
        <v>16</v>
      </c>
      <c r="C38" s="896"/>
      <c r="D38" s="916">
        <v>58761</v>
      </c>
      <c r="E38" s="916"/>
      <c r="F38" s="539">
        <v>3456</v>
      </c>
      <c r="G38" s="539">
        <v>3434</v>
      </c>
      <c r="H38" s="539">
        <v>3378</v>
      </c>
      <c r="I38" s="539">
        <v>3400</v>
      </c>
      <c r="J38" s="539">
        <v>2928</v>
      </c>
      <c r="K38" s="539">
        <v>3262</v>
      </c>
      <c r="L38" s="539">
        <v>3827</v>
      </c>
      <c r="M38" s="539"/>
      <c r="N38" s="539">
        <v>4115</v>
      </c>
      <c r="O38" s="539">
        <v>4693</v>
      </c>
      <c r="P38" s="539">
        <v>4117</v>
      </c>
      <c r="Q38" s="539">
        <v>3742</v>
      </c>
      <c r="R38" s="539">
        <v>3338</v>
      </c>
      <c r="S38" s="539">
        <v>3651</v>
      </c>
      <c r="T38" s="539">
        <v>2980</v>
      </c>
      <c r="U38" s="539">
        <v>2224</v>
      </c>
      <c r="V38" s="539">
        <v>2221</v>
      </c>
      <c r="W38" s="539">
        <v>3402</v>
      </c>
      <c r="X38" s="186">
        <v>593</v>
      </c>
    </row>
    <row r="39" spans="1:24" ht="16.5" customHeight="1">
      <c r="W39" s="348"/>
      <c r="X39" s="349" t="s">
        <v>602</v>
      </c>
    </row>
  </sheetData>
  <sheetProtection sheet="1" objects="1" scenarios="1"/>
  <mergeCells count="90">
    <mergeCell ref="B29:C29"/>
    <mergeCell ref="D29:E29"/>
    <mergeCell ref="B38:C38"/>
    <mergeCell ref="D38:E38"/>
    <mergeCell ref="B35:C35"/>
    <mergeCell ref="D35:E35"/>
    <mergeCell ref="B36:C36"/>
    <mergeCell ref="D36:E36"/>
    <mergeCell ref="B37:C37"/>
    <mergeCell ref="D37:E37"/>
    <mergeCell ref="B34:C34"/>
    <mergeCell ref="D34:E34"/>
    <mergeCell ref="B30:C30"/>
    <mergeCell ref="D30:E30"/>
    <mergeCell ref="B33:C33"/>
    <mergeCell ref="D33:E33"/>
    <mergeCell ref="B31:C31"/>
    <mergeCell ref="D31:E31"/>
    <mergeCell ref="B32:C32"/>
    <mergeCell ref="D32:E32"/>
    <mergeCell ref="U19:V19"/>
    <mergeCell ref="B26:C26"/>
    <mergeCell ref="B28:C28"/>
    <mergeCell ref="D28:E28"/>
    <mergeCell ref="B23:C23"/>
    <mergeCell ref="D23:E23"/>
    <mergeCell ref="B25:C25"/>
    <mergeCell ref="D25:E25"/>
    <mergeCell ref="B24:C24"/>
    <mergeCell ref="D26:E26"/>
    <mergeCell ref="D24:E24"/>
    <mergeCell ref="B27:C27"/>
    <mergeCell ref="D27:E27"/>
    <mergeCell ref="P15:Q15"/>
    <mergeCell ref="J16:K16"/>
    <mergeCell ref="A16:B16"/>
    <mergeCell ref="C9:E9"/>
    <mergeCell ref="G9:H9"/>
    <mergeCell ref="A10:B10"/>
    <mergeCell ref="P13:Q13"/>
    <mergeCell ref="D22:E22"/>
    <mergeCell ref="J14:K14"/>
    <mergeCell ref="C14:E14"/>
    <mergeCell ref="C16:E16"/>
    <mergeCell ref="G16:H16"/>
    <mergeCell ref="J12:K12"/>
    <mergeCell ref="A12:B12"/>
    <mergeCell ref="C12:E12"/>
    <mergeCell ref="A14:B14"/>
    <mergeCell ref="G14:H14"/>
    <mergeCell ref="C10:E10"/>
    <mergeCell ref="G10:H10"/>
    <mergeCell ref="C8:F8"/>
    <mergeCell ref="A7:B9"/>
    <mergeCell ref="C7:F7"/>
    <mergeCell ref="G7:I7"/>
    <mergeCell ref="N11:P11"/>
    <mergeCell ref="N10:P10"/>
    <mergeCell ref="J10:K10"/>
    <mergeCell ref="G12:H12"/>
    <mergeCell ref="G8:I8"/>
    <mergeCell ref="J9:K9"/>
    <mergeCell ref="N9:P9"/>
    <mergeCell ref="W9:X9"/>
    <mergeCell ref="W11:X11"/>
    <mergeCell ref="U11:V11"/>
    <mergeCell ref="W10:X10"/>
    <mergeCell ref="Q10:R10"/>
    <mergeCell ref="U10:V10"/>
    <mergeCell ref="S10:T10"/>
    <mergeCell ref="Q11:R11"/>
    <mergeCell ref="S11:T11"/>
    <mergeCell ref="Q9:R9"/>
    <mergeCell ref="U9:V9"/>
    <mergeCell ref="S9:T9"/>
    <mergeCell ref="U8:V8"/>
    <mergeCell ref="J8:L8"/>
    <mergeCell ref="N8:P8"/>
    <mergeCell ref="N1:X1"/>
    <mergeCell ref="Q7:R7"/>
    <mergeCell ref="S7:T7"/>
    <mergeCell ref="Q8:R8"/>
    <mergeCell ref="S8:T8"/>
    <mergeCell ref="W8:X8"/>
    <mergeCell ref="U7:V7"/>
    <mergeCell ref="W7:X7"/>
    <mergeCell ref="N4:X4"/>
    <mergeCell ref="A4:L5"/>
    <mergeCell ref="J7:L7"/>
    <mergeCell ref="N7:P7"/>
  </mergeCells>
  <phoneticPr fontId="17"/>
  <printOptions horizontalCentered="1"/>
  <pageMargins left="0.59055118110236227" right="0.59055118110236227" top="0.59055118110236227" bottom="0.59055118110236227" header="0.39370078740157483" footer="0.39370078740157483"/>
  <pageSetup paperSize="9" firstPageNumber="0" orientation="portrait" verticalDpi="300" r:id="rId1"/>
  <headerFooter scaleWithDoc="0" alignWithMargins="0">
    <oddHeader>&amp;R&amp;"ＭＳ 明朝,標準"&amp;10人　口</oddHeader>
    <oddFooter>&amp;C&amp;"ＭＳ 明朝,標準"&amp;12&amp;A</oddFooter>
  </headerFooter>
  <colBreaks count="1" manualBreakCount="1">
    <brk id="13"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Q40"/>
  <sheetViews>
    <sheetView view="pageBreakPreview" zoomScaleNormal="100" zoomScaleSheetLayoutView="100" workbookViewId="0">
      <selection activeCell="I1" sqref="I1:Q1048576"/>
    </sheetView>
  </sheetViews>
  <sheetFormatPr defaultRowHeight="18.95" customHeight="1"/>
  <cols>
    <col min="1" max="2" width="9.625" style="6" customWidth="1"/>
    <col min="3" max="8" width="11.875" style="6" customWidth="1"/>
    <col min="9" max="9" width="0.875" style="6" hidden="1" customWidth="1"/>
    <col min="10" max="10" width="10.875" style="6" hidden="1" customWidth="1"/>
    <col min="11" max="17" width="11.375" style="6" hidden="1" customWidth="1"/>
    <col min="18" max="16384" width="9" style="6"/>
  </cols>
  <sheetData>
    <row r="1" spans="1:17" ht="5.0999999999999996" customHeight="1">
      <c r="A1" s="37"/>
      <c r="B1" s="5"/>
      <c r="J1" s="882"/>
      <c r="K1" s="882"/>
      <c r="L1" s="882"/>
      <c r="M1" s="882"/>
      <c r="N1" s="882"/>
      <c r="O1" s="882"/>
      <c r="P1" s="882"/>
      <c r="Q1" s="882"/>
    </row>
    <row r="2" spans="1:17" ht="15" customHeight="1">
      <c r="A2" s="37" t="s">
        <v>360</v>
      </c>
      <c r="B2" s="5"/>
      <c r="J2" s="41"/>
      <c r="K2" s="41"/>
      <c r="L2" s="41"/>
      <c r="M2" s="41"/>
      <c r="N2" s="41"/>
      <c r="O2" s="41"/>
      <c r="P2" s="41"/>
      <c r="Q2" s="41"/>
    </row>
    <row r="3" spans="1:17" ht="5.0999999999999996" customHeight="1">
      <c r="A3" s="37"/>
      <c r="B3" s="5"/>
      <c r="J3" s="41"/>
      <c r="K3" s="41"/>
      <c r="L3" s="41"/>
      <c r="M3" s="41"/>
      <c r="N3" s="41"/>
      <c r="O3" s="41"/>
      <c r="P3" s="41"/>
      <c r="Q3" s="41"/>
    </row>
    <row r="4" spans="1:17" s="72" customFormat="1" ht="48.75" customHeight="1">
      <c r="A4" s="983" t="s">
        <v>666</v>
      </c>
      <c r="B4" s="983"/>
      <c r="C4" s="983"/>
      <c r="D4" s="983"/>
      <c r="E4" s="983"/>
      <c r="F4" s="983"/>
      <c r="G4" s="983"/>
      <c r="H4" s="983"/>
      <c r="I4" s="85"/>
      <c r="J4" s="913" t="s">
        <v>667</v>
      </c>
      <c r="K4" s="913"/>
      <c r="L4" s="913"/>
      <c r="M4" s="913"/>
      <c r="N4" s="913"/>
      <c r="O4" s="913"/>
      <c r="P4" s="913"/>
      <c r="Q4" s="913"/>
    </row>
    <row r="5" spans="1:17" ht="15" customHeight="1">
      <c r="A5" s="5"/>
      <c r="J5" s="882"/>
      <c r="K5" s="882"/>
      <c r="L5" s="882"/>
      <c r="M5" s="882"/>
      <c r="N5" s="882"/>
      <c r="O5" s="882"/>
      <c r="P5" s="882"/>
      <c r="Q5" s="882"/>
    </row>
    <row r="6" spans="1:17" ht="15" customHeight="1" thickBot="1">
      <c r="A6" s="5" t="s">
        <v>361</v>
      </c>
      <c r="J6" s="1"/>
      <c r="K6" s="1"/>
      <c r="L6" s="1"/>
      <c r="M6" s="1"/>
      <c r="N6" s="1"/>
      <c r="O6" s="1"/>
      <c r="P6" s="1"/>
      <c r="Q6" s="7" t="s">
        <v>362</v>
      </c>
    </row>
    <row r="7" spans="1:17" ht="15" customHeight="1">
      <c r="A7" s="985" t="s">
        <v>445</v>
      </c>
      <c r="B7" s="909"/>
      <c r="C7" s="859" t="s">
        <v>446</v>
      </c>
      <c r="D7" s="859"/>
      <c r="E7" s="859"/>
      <c r="F7" s="859"/>
      <c r="G7" s="987" t="s">
        <v>556</v>
      </c>
      <c r="H7" s="988"/>
      <c r="I7" s="399" t="s">
        <v>471</v>
      </c>
      <c r="J7" s="909" t="s">
        <v>532</v>
      </c>
      <c r="K7" s="907" t="s">
        <v>245</v>
      </c>
      <c r="L7" s="908" t="s">
        <v>447</v>
      </c>
      <c r="M7" s="909"/>
      <c r="N7" s="907" t="s">
        <v>363</v>
      </c>
      <c r="O7" s="907"/>
      <c r="P7" s="907" t="s">
        <v>364</v>
      </c>
      <c r="Q7" s="996"/>
    </row>
    <row r="8" spans="1:17" ht="15" customHeight="1">
      <c r="A8" s="904"/>
      <c r="B8" s="924"/>
      <c r="C8" s="861"/>
      <c r="D8" s="861"/>
      <c r="E8" s="861"/>
      <c r="F8" s="861"/>
      <c r="G8" s="989"/>
      <c r="H8" s="990"/>
      <c r="I8" s="400"/>
      <c r="J8" s="911"/>
      <c r="K8" s="991"/>
      <c r="L8" s="905"/>
      <c r="M8" s="924"/>
      <c r="N8" s="994" t="s">
        <v>449</v>
      </c>
      <c r="O8" s="995"/>
      <c r="P8" s="997" t="s">
        <v>448</v>
      </c>
      <c r="Q8" s="998"/>
    </row>
    <row r="9" spans="1:17" ht="24.95" customHeight="1">
      <c r="A9" s="986"/>
      <c r="B9" s="911"/>
      <c r="C9" s="861" t="s">
        <v>632</v>
      </c>
      <c r="D9" s="861"/>
      <c r="E9" s="861" t="s">
        <v>633</v>
      </c>
      <c r="F9" s="861"/>
      <c r="G9" s="838" t="s">
        <v>555</v>
      </c>
      <c r="H9" s="838"/>
      <c r="I9" s="463"/>
      <c r="J9" s="74" t="s">
        <v>365</v>
      </c>
      <c r="K9" s="9" t="s">
        <v>366</v>
      </c>
      <c r="L9" s="18" t="s">
        <v>367</v>
      </c>
      <c r="M9" s="86"/>
      <c r="N9" s="910" t="s">
        <v>368</v>
      </c>
      <c r="O9" s="911"/>
      <c r="P9" s="992" t="s">
        <v>369</v>
      </c>
      <c r="Q9" s="993"/>
    </row>
    <row r="10" spans="1:17" ht="24.95" customHeight="1">
      <c r="A10" s="999" t="s">
        <v>370</v>
      </c>
      <c r="B10" s="1000"/>
      <c r="C10" s="984">
        <v>930751</v>
      </c>
      <c r="D10" s="984"/>
      <c r="E10" s="984">
        <v>971772</v>
      </c>
      <c r="F10" s="984"/>
      <c r="G10" s="984">
        <f>E10-C10</f>
        <v>41021</v>
      </c>
      <c r="H10" s="984"/>
      <c r="I10" s="87"/>
      <c r="J10" s="133">
        <f>G10/C10*100</f>
        <v>4.4073012008582317</v>
      </c>
      <c r="K10" s="410">
        <v>134.19</v>
      </c>
      <c r="L10" s="915">
        <f>E10/K10</f>
        <v>7241.7616811983007</v>
      </c>
      <c r="M10" s="915"/>
      <c r="N10" s="1001">
        <f>(E10/1392818)*100</f>
        <v>69.770206875557335</v>
      </c>
      <c r="O10" s="1001"/>
      <c r="P10" s="971">
        <f>(K10/2276.15)*100</f>
        <v>5.8954814050040634</v>
      </c>
      <c r="Q10" s="972"/>
    </row>
    <row r="11" spans="1:17" ht="24.95" customHeight="1">
      <c r="A11" s="973" t="s">
        <v>371</v>
      </c>
      <c r="B11" s="974"/>
      <c r="C11" s="915">
        <v>314951</v>
      </c>
      <c r="D11" s="915"/>
      <c r="E11" s="915">
        <v>318151</v>
      </c>
      <c r="F11" s="915"/>
      <c r="G11" s="915">
        <f t="shared" ref="G11:G20" si="0">E11-C11</f>
        <v>3200</v>
      </c>
      <c r="H11" s="915"/>
      <c r="I11" s="87"/>
      <c r="J11" s="133">
        <f>G11/C11*100</f>
        <v>1.016031065149817</v>
      </c>
      <c r="K11" s="411">
        <v>38.4</v>
      </c>
      <c r="L11" s="915">
        <f>E11/K11</f>
        <v>8285.1822916666679</v>
      </c>
      <c r="M11" s="915"/>
      <c r="N11" s="979">
        <f>(E11/315954)*100</f>
        <v>100.69535438703103</v>
      </c>
      <c r="O11" s="979"/>
      <c r="P11" s="971">
        <f>(K11/39.24)*100</f>
        <v>97.859327217125369</v>
      </c>
      <c r="Q11" s="972"/>
    </row>
    <row r="12" spans="1:17" ht="24.95" customHeight="1">
      <c r="A12" s="973" t="s">
        <v>206</v>
      </c>
      <c r="B12" s="974"/>
      <c r="C12" s="915">
        <v>91119</v>
      </c>
      <c r="D12" s="915"/>
      <c r="E12" s="915">
        <v>95504</v>
      </c>
      <c r="F12" s="915"/>
      <c r="G12" s="915">
        <f t="shared" si="0"/>
        <v>4385</v>
      </c>
      <c r="H12" s="915"/>
      <c r="I12" s="87"/>
      <c r="J12" s="133">
        <f t="shared" ref="J12:J20" si="1">G12/C12*100</f>
        <v>4.8123881956562293</v>
      </c>
      <c r="K12" s="411">
        <v>12.69</v>
      </c>
      <c r="L12" s="915">
        <f>E12/K12</f>
        <v>7525.9259259259261</v>
      </c>
      <c r="M12" s="915"/>
      <c r="N12" s="979">
        <f>(E12/91928)*100</f>
        <v>103.8900008702463</v>
      </c>
      <c r="O12" s="979"/>
      <c r="P12" s="971">
        <f>(K12/19.7)*100</f>
        <v>64.416243654822338</v>
      </c>
      <c r="Q12" s="972"/>
    </row>
    <row r="13" spans="1:17" ht="24.95" customHeight="1">
      <c r="A13" s="973" t="s">
        <v>372</v>
      </c>
      <c r="B13" s="974"/>
      <c r="C13" s="915">
        <v>31229</v>
      </c>
      <c r="D13" s="915"/>
      <c r="E13" s="915">
        <v>31425</v>
      </c>
      <c r="F13" s="915"/>
      <c r="G13" s="854">
        <f>E13-C13</f>
        <v>196</v>
      </c>
      <c r="H13" s="854"/>
      <c r="I13" s="87"/>
      <c r="J13" s="568">
        <f t="shared" si="1"/>
        <v>0.62762176182394569</v>
      </c>
      <c r="K13" s="411">
        <v>5.15</v>
      </c>
      <c r="L13" s="915">
        <f t="shared" ref="L13:L19" si="2">E13/K13</f>
        <v>6101.9417475728151</v>
      </c>
      <c r="M13" s="915"/>
      <c r="N13" s="979">
        <f>(E13/46922)*100</f>
        <v>66.972848557180001</v>
      </c>
      <c r="O13" s="979"/>
      <c r="P13" s="971">
        <f>(K13/229)*100</f>
        <v>2.2489082969432315</v>
      </c>
      <c r="Q13" s="972"/>
    </row>
    <row r="14" spans="1:17" ht="24.95" customHeight="1">
      <c r="A14" s="975" t="s">
        <v>373</v>
      </c>
      <c r="B14" s="976"/>
      <c r="C14" s="923">
        <v>106447</v>
      </c>
      <c r="D14" s="923"/>
      <c r="E14" s="923">
        <v>111169</v>
      </c>
      <c r="F14" s="923"/>
      <c r="G14" s="923">
        <f t="shared" si="0"/>
        <v>4722</v>
      </c>
      <c r="H14" s="923"/>
      <c r="I14" s="88"/>
      <c r="J14" s="134">
        <f t="shared" si="1"/>
        <v>4.4360104089359025</v>
      </c>
      <c r="K14" s="412">
        <v>12.47</v>
      </c>
      <c r="L14" s="923">
        <f t="shared" si="2"/>
        <v>8914.915797914995</v>
      </c>
      <c r="M14" s="923"/>
      <c r="N14" s="1002">
        <f>(E14/110351)*100</f>
        <v>100.74127103515147</v>
      </c>
      <c r="O14" s="1002"/>
      <c r="P14" s="977">
        <f>(K14/19.09)*100</f>
        <v>65.322158198009433</v>
      </c>
      <c r="Q14" s="978"/>
    </row>
    <row r="15" spans="1:17" ht="24.95" customHeight="1">
      <c r="A15" s="973" t="s">
        <v>374</v>
      </c>
      <c r="B15" s="974"/>
      <c r="C15" s="915">
        <v>24500</v>
      </c>
      <c r="D15" s="915"/>
      <c r="E15" s="915">
        <v>25270</v>
      </c>
      <c r="F15" s="915"/>
      <c r="G15" s="915">
        <f t="shared" si="0"/>
        <v>770</v>
      </c>
      <c r="H15" s="915"/>
      <c r="I15" s="87"/>
      <c r="J15" s="133">
        <f t="shared" si="1"/>
        <v>3.1428571428571432</v>
      </c>
      <c r="K15" s="411">
        <v>4.5999999999999996</v>
      </c>
      <c r="L15" s="915">
        <v>5494</v>
      </c>
      <c r="M15" s="915"/>
      <c r="N15" s="979">
        <f>(E15/60231)*100</f>
        <v>41.955139380053467</v>
      </c>
      <c r="O15" s="979"/>
      <c r="P15" s="971">
        <f>(K15/210.37)*100</f>
        <v>2.1866235679992392</v>
      </c>
      <c r="Q15" s="972"/>
    </row>
    <row r="16" spans="1:17" ht="24.95" customHeight="1">
      <c r="A16" s="973" t="s">
        <v>375</v>
      </c>
      <c r="B16" s="974"/>
      <c r="C16" s="915">
        <v>32684</v>
      </c>
      <c r="D16" s="915"/>
      <c r="E16" s="915">
        <v>33830</v>
      </c>
      <c r="F16" s="915"/>
      <c r="G16" s="915">
        <f t="shared" si="0"/>
        <v>1146</v>
      </c>
      <c r="H16" s="915"/>
      <c r="I16" s="87"/>
      <c r="J16" s="133">
        <f t="shared" si="1"/>
        <v>3.5063027781177336</v>
      </c>
      <c r="K16" s="411">
        <v>6.39</v>
      </c>
      <c r="L16" s="915">
        <f t="shared" si="2"/>
        <v>5294.2097026604069</v>
      </c>
      <c r="M16" s="915"/>
      <c r="N16" s="979">
        <f>(E16/57320)*100</f>
        <v>59.019539427773907</v>
      </c>
      <c r="O16" s="979"/>
      <c r="P16" s="971">
        <f>(K16/46.63)*100</f>
        <v>13.703624276217028</v>
      </c>
      <c r="Q16" s="972"/>
    </row>
    <row r="17" spans="1:17" ht="24.95" customHeight="1">
      <c r="A17" s="973" t="s">
        <v>376</v>
      </c>
      <c r="B17" s="974"/>
      <c r="C17" s="915">
        <v>112748</v>
      </c>
      <c r="D17" s="915"/>
      <c r="E17" s="915">
        <v>122197</v>
      </c>
      <c r="F17" s="915"/>
      <c r="G17" s="915">
        <f t="shared" si="0"/>
        <v>9449</v>
      </c>
      <c r="H17" s="915"/>
      <c r="I17" s="89"/>
      <c r="J17" s="133">
        <f t="shared" si="1"/>
        <v>8.3806364636179804</v>
      </c>
      <c r="K17" s="411">
        <v>16.8</v>
      </c>
      <c r="L17" s="915">
        <f t="shared" si="2"/>
        <v>7273.6309523809523</v>
      </c>
      <c r="M17" s="915"/>
      <c r="N17" s="979">
        <f>(E17/130249)*100</f>
        <v>93.817994763875348</v>
      </c>
      <c r="O17" s="979"/>
      <c r="P17" s="971">
        <f>(K17/49)*100</f>
        <v>34.285714285714285</v>
      </c>
      <c r="Q17" s="972"/>
    </row>
    <row r="18" spans="1:17" ht="24.95" customHeight="1">
      <c r="A18" s="973" t="s">
        <v>218</v>
      </c>
      <c r="B18" s="974"/>
      <c r="C18" s="915">
        <v>37788</v>
      </c>
      <c r="D18" s="915"/>
      <c r="E18" s="915">
        <v>39139</v>
      </c>
      <c r="F18" s="915"/>
      <c r="G18" s="915">
        <f t="shared" si="0"/>
        <v>1351</v>
      </c>
      <c r="H18" s="915"/>
      <c r="I18" s="87"/>
      <c r="J18" s="133">
        <f t="shared" si="1"/>
        <v>3.5752090610775911</v>
      </c>
      <c r="K18" s="411">
        <v>4.57</v>
      </c>
      <c r="L18" s="915">
        <f t="shared" si="2"/>
        <v>8564.3326039387302</v>
      </c>
      <c r="M18" s="915"/>
      <c r="N18" s="979">
        <f>(E18/57261)*100</f>
        <v>68.351932379804765</v>
      </c>
      <c r="O18" s="979"/>
      <c r="P18" s="971">
        <f>(K18/19.45)*100</f>
        <v>23.496143958868899</v>
      </c>
      <c r="Q18" s="972"/>
    </row>
    <row r="19" spans="1:17" ht="24.95" customHeight="1">
      <c r="A19" s="973" t="s">
        <v>202</v>
      </c>
      <c r="B19" s="974"/>
      <c r="C19" s="915">
        <v>57375</v>
      </c>
      <c r="D19" s="915"/>
      <c r="E19" s="915">
        <v>59166</v>
      </c>
      <c r="F19" s="915"/>
      <c r="G19" s="915">
        <f t="shared" si="0"/>
        <v>1791</v>
      </c>
      <c r="H19" s="915"/>
      <c r="I19" s="87"/>
      <c r="J19" s="133">
        <f t="shared" si="1"/>
        <v>3.1215686274509804</v>
      </c>
      <c r="K19" s="411">
        <v>10.24</v>
      </c>
      <c r="L19" s="915">
        <f t="shared" si="2"/>
        <v>5777.9296875</v>
      </c>
      <c r="M19" s="915"/>
      <c r="N19" s="979">
        <f>(E19/116979)*100</f>
        <v>50.578308927243356</v>
      </c>
      <c r="O19" s="979"/>
      <c r="P19" s="971">
        <f>(K19/86.08)*100</f>
        <v>11.895910780669146</v>
      </c>
      <c r="Q19" s="972"/>
    </row>
    <row r="20" spans="1:17" ht="24.95" customHeight="1" thickBot="1">
      <c r="A20" s="967" t="s">
        <v>204</v>
      </c>
      <c r="B20" s="968"/>
      <c r="C20" s="969">
        <v>17176</v>
      </c>
      <c r="D20" s="969"/>
      <c r="E20" s="969">
        <v>17314</v>
      </c>
      <c r="F20" s="969"/>
      <c r="G20" s="969">
        <f t="shared" si="0"/>
        <v>138</v>
      </c>
      <c r="H20" s="969"/>
      <c r="I20" s="129"/>
      <c r="J20" s="569">
        <f t="shared" si="1"/>
        <v>0.80344666977177448</v>
      </c>
      <c r="K20" s="413">
        <v>3.63</v>
      </c>
      <c r="L20" s="969">
        <f>E20/K20</f>
        <v>4769.69696969697</v>
      </c>
      <c r="M20" s="969"/>
      <c r="N20" s="982">
        <f>(E20/52039)*100</f>
        <v>33.271200445819481</v>
      </c>
      <c r="O20" s="982"/>
      <c r="P20" s="980">
        <f>(K20/204.57)*100</f>
        <v>1.7744537322188003</v>
      </c>
      <c r="Q20" s="981"/>
    </row>
    <row r="21" spans="1:17" ht="15" customHeight="1">
      <c r="A21" s="5" t="s">
        <v>377</v>
      </c>
      <c r="J21" s="1"/>
      <c r="K21" s="1"/>
      <c r="L21" s="1"/>
      <c r="M21" s="1"/>
      <c r="N21" s="1"/>
      <c r="Q21" s="7" t="s">
        <v>634</v>
      </c>
    </row>
    <row r="22" spans="1:17" ht="15" customHeight="1">
      <c r="J22" s="1"/>
      <c r="K22" s="1"/>
      <c r="L22" s="1"/>
      <c r="M22" s="1"/>
      <c r="N22" s="1"/>
      <c r="O22" s="1"/>
      <c r="P22" s="1"/>
    </row>
    <row r="23" spans="1:17" ht="15" customHeight="1" thickBot="1">
      <c r="A23" s="5" t="s">
        <v>9</v>
      </c>
      <c r="J23" s="1"/>
      <c r="K23" s="1"/>
      <c r="L23" s="1"/>
      <c r="M23" s="1"/>
      <c r="N23" s="1"/>
      <c r="O23" s="1"/>
      <c r="P23" s="1"/>
      <c r="Q23" s="7" t="s">
        <v>22</v>
      </c>
    </row>
    <row r="24" spans="1:17" ht="15" customHeight="1">
      <c r="A24" s="135"/>
      <c r="B24" s="136"/>
      <c r="C24" s="907" t="s">
        <v>380</v>
      </c>
      <c r="D24" s="859" t="s">
        <v>378</v>
      </c>
      <c r="E24" s="859"/>
      <c r="F24" s="859"/>
      <c r="G24" s="859"/>
      <c r="H24" s="137"/>
      <c r="I24" s="138"/>
      <c r="J24" s="879" t="s">
        <v>379</v>
      </c>
      <c r="K24" s="879"/>
      <c r="L24" s="879"/>
      <c r="M24" s="879"/>
      <c r="N24" s="879"/>
      <c r="O24" s="879"/>
      <c r="P24" s="879"/>
      <c r="Q24" s="139"/>
    </row>
    <row r="25" spans="1:17" ht="15" customHeight="1">
      <c r="A25" s="140"/>
      <c r="B25" s="91"/>
      <c r="C25" s="899"/>
      <c r="D25" s="861"/>
      <c r="E25" s="861"/>
      <c r="F25" s="861"/>
      <c r="G25" s="861"/>
      <c r="H25" s="11"/>
      <c r="I25" s="54"/>
      <c r="J25" s="839"/>
      <c r="K25" s="839"/>
      <c r="L25" s="839"/>
      <c r="M25" s="839"/>
      <c r="N25" s="839"/>
      <c r="O25" s="839"/>
      <c r="P25" s="839"/>
      <c r="Q25" s="141" t="s">
        <v>299</v>
      </c>
    </row>
    <row r="26" spans="1:17" ht="24.95" customHeight="1">
      <c r="A26" s="142"/>
      <c r="B26" s="92"/>
      <c r="C26" s="943"/>
      <c r="D26" s="10" t="s">
        <v>343</v>
      </c>
      <c r="E26" s="10" t="s">
        <v>344</v>
      </c>
      <c r="F26" s="10" t="s">
        <v>345</v>
      </c>
      <c r="G26" s="10" t="s">
        <v>346</v>
      </c>
      <c r="H26" s="150" t="s">
        <v>381</v>
      </c>
      <c r="I26" s="351"/>
      <c r="J26" s="44" t="s">
        <v>347</v>
      </c>
      <c r="K26" s="10" t="s">
        <v>293</v>
      </c>
      <c r="L26" s="10" t="s">
        <v>294</v>
      </c>
      <c r="M26" s="10" t="s">
        <v>295</v>
      </c>
      <c r="N26" s="10" t="s">
        <v>296</v>
      </c>
      <c r="O26" s="10" t="s">
        <v>297</v>
      </c>
      <c r="P26" s="10" t="s">
        <v>298</v>
      </c>
      <c r="Q26" s="128"/>
    </row>
    <row r="27" spans="1:17" ht="21" customHeight="1">
      <c r="A27" s="143"/>
      <c r="B27" s="90"/>
      <c r="C27" s="60"/>
      <c r="D27" s="50"/>
      <c r="E27" s="93"/>
      <c r="F27" s="50"/>
      <c r="G27" s="50"/>
      <c r="H27" s="20"/>
      <c r="I27" s="20"/>
      <c r="J27" s="50"/>
      <c r="K27" s="50"/>
      <c r="L27" s="50"/>
      <c r="M27" s="50"/>
      <c r="N27" s="50"/>
      <c r="O27" s="50"/>
      <c r="P27" s="50"/>
      <c r="Q27" s="144"/>
    </row>
    <row r="28" spans="1:17" ht="24.95" customHeight="1">
      <c r="A28" s="898" t="s">
        <v>382</v>
      </c>
      <c r="B28" s="899"/>
      <c r="C28" s="17">
        <f>SUM(D28,H28,Q28)</f>
        <v>971772</v>
      </c>
      <c r="D28" s="2">
        <f>SUM(E28:G28)</f>
        <v>170707</v>
      </c>
      <c r="E28" s="339">
        <v>57182</v>
      </c>
      <c r="F28" s="339">
        <v>56960</v>
      </c>
      <c r="G28" s="339">
        <v>56565</v>
      </c>
      <c r="H28" s="2">
        <f>SUM(J28:P28)</f>
        <v>611231</v>
      </c>
      <c r="I28" s="2"/>
      <c r="J28" s="339">
        <v>55878</v>
      </c>
      <c r="K28" s="339">
        <v>49416</v>
      </c>
      <c r="L28" s="339">
        <v>55155</v>
      </c>
      <c r="M28" s="339">
        <v>62634</v>
      </c>
      <c r="N28" s="339">
        <v>143008</v>
      </c>
      <c r="O28" s="339">
        <v>124511</v>
      </c>
      <c r="P28" s="339">
        <v>120629</v>
      </c>
      <c r="Q28" s="340">
        <v>189834</v>
      </c>
    </row>
    <row r="29" spans="1:17" ht="21" customHeight="1">
      <c r="A29" s="245"/>
      <c r="B29" s="338"/>
      <c r="C29" s="3"/>
      <c r="D29" s="2"/>
      <c r="E29" s="2"/>
      <c r="F29" s="2"/>
      <c r="G29" s="2"/>
      <c r="H29" s="2"/>
      <c r="I29" s="2"/>
      <c r="J29" s="2"/>
      <c r="L29" s="2"/>
      <c r="M29" s="2"/>
      <c r="N29" s="2"/>
      <c r="O29" s="2"/>
      <c r="P29" s="2"/>
      <c r="Q29" s="341"/>
    </row>
    <row r="30" spans="1:17" ht="21" customHeight="1">
      <c r="A30" s="245"/>
      <c r="B30" s="338"/>
      <c r="C30" s="3"/>
      <c r="D30" s="2"/>
      <c r="E30" s="2"/>
      <c r="F30" s="2"/>
      <c r="G30" s="2"/>
      <c r="H30" s="2"/>
      <c r="I30" s="2"/>
      <c r="J30" s="2"/>
      <c r="L30" s="2"/>
      <c r="M30" s="2"/>
      <c r="N30" s="2"/>
      <c r="O30" s="2"/>
      <c r="P30" s="2"/>
      <c r="Q30" s="145"/>
    </row>
    <row r="31" spans="1:17" ht="24.95" customHeight="1">
      <c r="A31" s="904" t="s">
        <v>383</v>
      </c>
      <c r="B31" s="970"/>
      <c r="C31" s="3">
        <f>SUM(D31,H31,Q31)</f>
        <v>853165</v>
      </c>
      <c r="D31" s="2">
        <f>SUM(E31:G31)</f>
        <v>148037</v>
      </c>
      <c r="E31" s="339">
        <v>49325</v>
      </c>
      <c r="F31" s="339">
        <v>49385</v>
      </c>
      <c r="G31" s="339">
        <v>49327</v>
      </c>
      <c r="H31" s="2">
        <f>SUM(J31:P31)</f>
        <v>537842</v>
      </c>
      <c r="I31" s="2"/>
      <c r="J31" s="339">
        <v>49069</v>
      </c>
      <c r="K31" s="2">
        <v>43576</v>
      </c>
      <c r="L31" s="339">
        <v>48397</v>
      </c>
      <c r="M31" s="339">
        <v>54803</v>
      </c>
      <c r="N31" s="339">
        <v>125719</v>
      </c>
      <c r="O31" s="339">
        <v>110442</v>
      </c>
      <c r="P31" s="339">
        <v>105836</v>
      </c>
      <c r="Q31" s="340">
        <v>167286</v>
      </c>
    </row>
    <row r="32" spans="1:17" ht="21" customHeight="1">
      <c r="A32" s="245"/>
      <c r="B32" s="337"/>
      <c r="C32" s="17"/>
      <c r="D32" s="2"/>
      <c r="E32" s="2"/>
      <c r="F32" s="2"/>
      <c r="G32" s="2"/>
      <c r="H32" s="2"/>
      <c r="I32" s="2"/>
      <c r="J32" s="94"/>
      <c r="K32" s="94"/>
      <c r="L32" s="94"/>
      <c r="M32" s="94"/>
      <c r="N32" s="94"/>
      <c r="O32" s="94"/>
      <c r="P32" s="94"/>
      <c r="Q32" s="343"/>
    </row>
    <row r="33" spans="1:17" ht="21" customHeight="1">
      <c r="A33" s="245"/>
      <c r="B33" s="337"/>
      <c r="C33" s="17"/>
      <c r="D33" s="2"/>
      <c r="E33" s="2"/>
      <c r="F33" s="2"/>
      <c r="G33" s="2"/>
      <c r="H33" s="2"/>
      <c r="I33" s="2"/>
      <c r="J33" s="2"/>
      <c r="K33" s="2"/>
      <c r="L33" s="2"/>
      <c r="M33" s="2"/>
      <c r="N33" s="2"/>
      <c r="O33" s="2"/>
      <c r="P33" s="2"/>
      <c r="Q33" s="145"/>
    </row>
    <row r="34" spans="1:17" ht="24.95" customHeight="1">
      <c r="A34" s="898" t="s">
        <v>384</v>
      </c>
      <c r="B34" s="899"/>
      <c r="C34" s="17">
        <f>SUM(D34,H34,Q34)</f>
        <v>118607</v>
      </c>
      <c r="D34" s="2">
        <f>SUM(E34:G34)</f>
        <v>22670</v>
      </c>
      <c r="E34" s="339">
        <v>7857</v>
      </c>
      <c r="F34" s="339">
        <v>7575</v>
      </c>
      <c r="G34" s="339">
        <v>7238</v>
      </c>
      <c r="H34" s="2">
        <f>SUM(J34:P34)</f>
        <v>73389</v>
      </c>
      <c r="I34" s="2"/>
      <c r="J34" s="339">
        <v>6809</v>
      </c>
      <c r="K34" s="2">
        <v>5840</v>
      </c>
      <c r="L34" s="339">
        <v>6758</v>
      </c>
      <c r="M34" s="339">
        <v>7831</v>
      </c>
      <c r="N34" s="339">
        <v>17289</v>
      </c>
      <c r="O34" s="339">
        <v>14069</v>
      </c>
      <c r="P34" s="339">
        <v>14793</v>
      </c>
      <c r="Q34" s="340">
        <v>22548</v>
      </c>
    </row>
    <row r="35" spans="1:17" ht="21" customHeight="1" thickBot="1">
      <c r="A35" s="146"/>
      <c r="B35" s="147"/>
      <c r="C35" s="148"/>
      <c r="D35" s="132"/>
      <c r="E35" s="132"/>
      <c r="F35" s="132"/>
      <c r="G35" s="132"/>
      <c r="H35" s="132"/>
      <c r="I35" s="132"/>
      <c r="J35" s="149"/>
      <c r="K35" s="149"/>
      <c r="L35" s="149"/>
      <c r="M35" s="149"/>
      <c r="N35" s="149"/>
      <c r="O35" s="149"/>
      <c r="P35" s="149"/>
      <c r="Q35" s="342"/>
    </row>
    <row r="36" spans="1:17" ht="15" customHeight="1">
      <c r="P36" s="5"/>
      <c r="Q36" s="7" t="s">
        <v>635</v>
      </c>
    </row>
    <row r="37" spans="1:17" ht="15" customHeight="1">
      <c r="A37" s="5" t="s">
        <v>385</v>
      </c>
    </row>
    <row r="38" spans="1:17" ht="15" customHeight="1">
      <c r="A38" s="5" t="s">
        <v>536</v>
      </c>
      <c r="J38" s="5" t="s">
        <v>386</v>
      </c>
    </row>
    <row r="39" spans="1:17" ht="15" customHeight="1">
      <c r="A39" s="5" t="s">
        <v>537</v>
      </c>
      <c r="J39" s="5" t="s">
        <v>387</v>
      </c>
    </row>
    <row r="40" spans="1:17" ht="15" customHeight="1">
      <c r="A40" s="5" t="s">
        <v>538</v>
      </c>
      <c r="J40" s="1"/>
      <c r="K40" s="1"/>
      <c r="L40" s="1"/>
      <c r="M40" s="1"/>
      <c r="N40" s="1"/>
      <c r="O40" s="1"/>
      <c r="P40" s="1"/>
    </row>
  </sheetData>
  <sheetProtection sheet="1" objects="1" scenarios="1"/>
  <mergeCells count="102">
    <mergeCell ref="P12:Q12"/>
    <mergeCell ref="N10:O10"/>
    <mergeCell ref="P13:Q13"/>
    <mergeCell ref="G14:H14"/>
    <mergeCell ref="L14:M14"/>
    <mergeCell ref="N14:O14"/>
    <mergeCell ref="L10:M10"/>
    <mergeCell ref="L12:M12"/>
    <mergeCell ref="L13:M13"/>
    <mergeCell ref="N11:O11"/>
    <mergeCell ref="A17:B17"/>
    <mergeCell ref="E17:F17"/>
    <mergeCell ref="C15:D15"/>
    <mergeCell ref="E15:F15"/>
    <mergeCell ref="G16:H16"/>
    <mergeCell ref="K7:K8"/>
    <mergeCell ref="L7:M8"/>
    <mergeCell ref="P9:Q9"/>
    <mergeCell ref="C11:D11"/>
    <mergeCell ref="E11:F11"/>
    <mergeCell ref="L11:M11"/>
    <mergeCell ref="C7:F8"/>
    <mergeCell ref="N7:O7"/>
    <mergeCell ref="N8:O8"/>
    <mergeCell ref="N9:O9"/>
    <mergeCell ref="G10:H10"/>
    <mergeCell ref="G11:H11"/>
    <mergeCell ref="P7:Q7"/>
    <mergeCell ref="P8:Q8"/>
    <mergeCell ref="P10:Q10"/>
    <mergeCell ref="P11:Q11"/>
    <mergeCell ref="A12:B12"/>
    <mergeCell ref="E9:F9"/>
    <mergeCell ref="A10:B10"/>
    <mergeCell ref="E13:F13"/>
    <mergeCell ref="G13:H13"/>
    <mergeCell ref="E12:F12"/>
    <mergeCell ref="G12:H12"/>
    <mergeCell ref="N15:O15"/>
    <mergeCell ref="N13:O13"/>
    <mergeCell ref="N12:O12"/>
    <mergeCell ref="J1:Q1"/>
    <mergeCell ref="A4:H4"/>
    <mergeCell ref="J4:Q4"/>
    <mergeCell ref="J5:Q5"/>
    <mergeCell ref="A11:B11"/>
    <mergeCell ref="A13:B13"/>
    <mergeCell ref="C13:D13"/>
    <mergeCell ref="C12:D12"/>
    <mergeCell ref="G15:H15"/>
    <mergeCell ref="A15:B15"/>
    <mergeCell ref="C9:D9"/>
    <mergeCell ref="E10:F10"/>
    <mergeCell ref="C10:D10"/>
    <mergeCell ref="A7:B9"/>
    <mergeCell ref="J7:J8"/>
    <mergeCell ref="G7:H8"/>
    <mergeCell ref="G9:H9"/>
    <mergeCell ref="A14:B14"/>
    <mergeCell ref="C14:D14"/>
    <mergeCell ref="E14:F14"/>
    <mergeCell ref="P15:Q15"/>
    <mergeCell ref="P14:Q14"/>
    <mergeCell ref="L16:M16"/>
    <mergeCell ref="N16:O16"/>
    <mergeCell ref="L15:M15"/>
    <mergeCell ref="P20:Q20"/>
    <mergeCell ref="N20:O20"/>
    <mergeCell ref="P18:Q18"/>
    <mergeCell ref="N19:O19"/>
    <mergeCell ref="P17:Q17"/>
    <mergeCell ref="P16:Q16"/>
    <mergeCell ref="N18:O18"/>
    <mergeCell ref="L17:M17"/>
    <mergeCell ref="N17:O17"/>
    <mergeCell ref="G18:H18"/>
    <mergeCell ref="G17:H17"/>
    <mergeCell ref="A16:B16"/>
    <mergeCell ref="C16:D16"/>
    <mergeCell ref="E16:F16"/>
    <mergeCell ref="C17:D17"/>
    <mergeCell ref="A18:B18"/>
    <mergeCell ref="A34:B34"/>
    <mergeCell ref="A20:B20"/>
    <mergeCell ref="C20:D20"/>
    <mergeCell ref="A28:B28"/>
    <mergeCell ref="A31:B31"/>
    <mergeCell ref="D24:G25"/>
    <mergeCell ref="E20:F20"/>
    <mergeCell ref="G20:H20"/>
    <mergeCell ref="L18:M18"/>
    <mergeCell ref="J24:P25"/>
    <mergeCell ref="P19:Q19"/>
    <mergeCell ref="L20:M20"/>
    <mergeCell ref="A19:B19"/>
    <mergeCell ref="C19:D19"/>
    <mergeCell ref="E19:F19"/>
    <mergeCell ref="G19:H19"/>
    <mergeCell ref="L19:M19"/>
    <mergeCell ref="C18:D18"/>
    <mergeCell ref="E18:F18"/>
    <mergeCell ref="C24:C26"/>
  </mergeCells>
  <phoneticPr fontId="17"/>
  <printOptions horizontalCentered="1"/>
  <pageMargins left="0.59055118110236227" right="0.59055118110236227" top="0.59055118110236227" bottom="0.59055118110236227" header="0.39370078740157483" footer="0.39370078740157483"/>
  <pageSetup paperSize="9" firstPageNumber="0" orientation="portrait" verticalDpi="300" r:id="rId1"/>
  <headerFooter scaleWithDoc="0" alignWithMargins="0">
    <oddHeader>&amp;L&amp;"ＭＳ 明朝,標準"&amp;10人　口</oddHeader>
    <oddFooter>&amp;C&amp;"ＭＳ 明朝,標準"&amp;12&amp;A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Q40"/>
  <sheetViews>
    <sheetView view="pageBreakPreview" zoomScaleNormal="100" zoomScaleSheetLayoutView="100" workbookViewId="0">
      <pane xSplit="2" topLeftCell="C1" activePane="topRight" state="frozen"/>
      <selection activeCell="J6" sqref="J6"/>
      <selection pane="topRight" activeCell="H1" sqref="A1:H1048576"/>
    </sheetView>
  </sheetViews>
  <sheetFormatPr defaultRowHeight="18.95" customHeight="1"/>
  <cols>
    <col min="1" max="2" width="9.625" style="6" hidden="1" customWidth="1"/>
    <col min="3" max="3" width="15.125" style="6" hidden="1" customWidth="1"/>
    <col min="4" max="8" width="11.375" style="6" hidden="1" customWidth="1"/>
    <col min="9" max="9" width="0.875" style="6" customWidth="1"/>
    <col min="10" max="10" width="10.875" style="6" customWidth="1"/>
    <col min="11" max="17" width="11.375" style="6" customWidth="1"/>
    <col min="18" max="16384" width="9" style="6"/>
  </cols>
  <sheetData>
    <row r="1" spans="1:17" ht="5.0999999999999996" customHeight="1">
      <c r="A1" s="37"/>
      <c r="B1" s="5"/>
      <c r="J1" s="882"/>
      <c r="K1" s="882"/>
      <c r="L1" s="882"/>
      <c r="M1" s="882"/>
      <c r="N1" s="882"/>
      <c r="O1" s="882"/>
      <c r="P1" s="882"/>
      <c r="Q1" s="882"/>
    </row>
    <row r="2" spans="1:17" ht="15" customHeight="1">
      <c r="A2" s="37" t="s">
        <v>360</v>
      </c>
      <c r="B2" s="5"/>
      <c r="J2" s="41"/>
      <c r="K2" s="41"/>
      <c r="L2" s="41"/>
      <c r="M2" s="41"/>
      <c r="N2" s="41"/>
      <c r="O2" s="41"/>
      <c r="P2" s="41"/>
      <c r="Q2" s="41"/>
    </row>
    <row r="3" spans="1:17" ht="5.0999999999999996" customHeight="1">
      <c r="A3" s="37"/>
      <c r="B3" s="5"/>
      <c r="J3" s="41"/>
      <c r="K3" s="41"/>
      <c r="L3" s="41"/>
      <c r="M3" s="41"/>
      <c r="N3" s="41"/>
      <c r="O3" s="41"/>
      <c r="P3" s="41"/>
      <c r="Q3" s="41"/>
    </row>
    <row r="4" spans="1:17" s="72" customFormat="1" ht="49.5" customHeight="1">
      <c r="A4" s="983" t="s">
        <v>666</v>
      </c>
      <c r="B4" s="983"/>
      <c r="C4" s="983"/>
      <c r="D4" s="983"/>
      <c r="E4" s="983"/>
      <c r="F4" s="983"/>
      <c r="G4" s="983"/>
      <c r="H4" s="983"/>
      <c r="I4" s="85"/>
      <c r="J4" s="913" t="s">
        <v>667</v>
      </c>
      <c r="K4" s="913"/>
      <c r="L4" s="913"/>
      <c r="M4" s="913"/>
      <c r="N4" s="913"/>
      <c r="O4" s="913"/>
      <c r="P4" s="913"/>
      <c r="Q4" s="913"/>
    </row>
    <row r="5" spans="1:17" ht="15" customHeight="1">
      <c r="A5" s="5"/>
      <c r="J5" s="882"/>
      <c r="K5" s="882"/>
      <c r="L5" s="882"/>
      <c r="M5" s="882"/>
      <c r="N5" s="882"/>
      <c r="O5" s="882"/>
      <c r="P5" s="882"/>
      <c r="Q5" s="882"/>
    </row>
    <row r="6" spans="1:17" ht="15" customHeight="1" thickBot="1">
      <c r="A6" s="5" t="s">
        <v>361</v>
      </c>
      <c r="J6" s="1"/>
      <c r="K6" s="1"/>
      <c r="L6" s="1"/>
      <c r="M6" s="1"/>
      <c r="N6" s="1"/>
      <c r="O6" s="1"/>
      <c r="P6" s="1"/>
      <c r="Q6" s="7" t="s">
        <v>362</v>
      </c>
    </row>
    <row r="7" spans="1:17" ht="15" customHeight="1">
      <c r="A7" s="985" t="s">
        <v>445</v>
      </c>
      <c r="B7" s="909"/>
      <c r="C7" s="859" t="s">
        <v>446</v>
      </c>
      <c r="D7" s="859"/>
      <c r="E7" s="859"/>
      <c r="F7" s="859"/>
      <c r="G7" s="987" t="s">
        <v>556</v>
      </c>
      <c r="H7" s="988"/>
      <c r="I7" s="399" t="s">
        <v>471</v>
      </c>
      <c r="J7" s="909" t="s">
        <v>532</v>
      </c>
      <c r="K7" s="907" t="s">
        <v>245</v>
      </c>
      <c r="L7" s="908" t="s">
        <v>447</v>
      </c>
      <c r="M7" s="909"/>
      <c r="N7" s="907" t="s">
        <v>363</v>
      </c>
      <c r="O7" s="907"/>
      <c r="P7" s="907" t="s">
        <v>364</v>
      </c>
      <c r="Q7" s="996"/>
    </row>
    <row r="8" spans="1:17" ht="15" customHeight="1">
      <c r="A8" s="904"/>
      <c r="B8" s="924"/>
      <c r="C8" s="861"/>
      <c r="D8" s="861"/>
      <c r="E8" s="861"/>
      <c r="F8" s="861"/>
      <c r="G8" s="989"/>
      <c r="H8" s="990"/>
      <c r="I8" s="400"/>
      <c r="J8" s="911"/>
      <c r="K8" s="991"/>
      <c r="L8" s="905"/>
      <c r="M8" s="924"/>
      <c r="N8" s="994" t="s">
        <v>449</v>
      </c>
      <c r="O8" s="995"/>
      <c r="P8" s="997" t="s">
        <v>448</v>
      </c>
      <c r="Q8" s="998"/>
    </row>
    <row r="9" spans="1:17" ht="24.95" customHeight="1">
      <c r="A9" s="986"/>
      <c r="B9" s="911"/>
      <c r="C9" s="861" t="s">
        <v>632</v>
      </c>
      <c r="D9" s="861"/>
      <c r="E9" s="861" t="s">
        <v>633</v>
      </c>
      <c r="F9" s="861"/>
      <c r="G9" s="838" t="s">
        <v>554</v>
      </c>
      <c r="H9" s="838"/>
      <c r="I9" s="549"/>
      <c r="J9" s="546" t="s">
        <v>365</v>
      </c>
      <c r="K9" s="551" t="s">
        <v>366</v>
      </c>
      <c r="L9" s="18" t="s">
        <v>367</v>
      </c>
      <c r="M9" s="86"/>
      <c r="N9" s="910" t="s">
        <v>368</v>
      </c>
      <c r="O9" s="911"/>
      <c r="P9" s="992" t="s">
        <v>369</v>
      </c>
      <c r="Q9" s="993"/>
    </row>
    <row r="10" spans="1:17" ht="24.95" customHeight="1">
      <c r="A10" s="999" t="s">
        <v>370</v>
      </c>
      <c r="B10" s="1000"/>
      <c r="C10" s="984">
        <v>930751</v>
      </c>
      <c r="D10" s="984"/>
      <c r="E10" s="984">
        <v>971772</v>
      </c>
      <c r="F10" s="984"/>
      <c r="G10" s="984">
        <f>E10-C10</f>
        <v>41021</v>
      </c>
      <c r="H10" s="984"/>
      <c r="I10" s="87"/>
      <c r="J10" s="555">
        <f>G10/C10*100</f>
        <v>4.4073012008582317</v>
      </c>
      <c r="K10" s="410">
        <v>134.19</v>
      </c>
      <c r="L10" s="915">
        <f>E10/K10</f>
        <v>7241.7616811983007</v>
      </c>
      <c r="M10" s="915"/>
      <c r="N10" s="1012">
        <f>(E10/1433566)*100</f>
        <v>67.787042940471522</v>
      </c>
      <c r="O10" s="1012"/>
      <c r="P10" s="1005">
        <f>(K10/2281.12)*100</f>
        <v>5.8826365995651262</v>
      </c>
      <c r="Q10" s="1006"/>
    </row>
    <row r="11" spans="1:17" ht="24.95" customHeight="1">
      <c r="A11" s="973" t="s">
        <v>371</v>
      </c>
      <c r="B11" s="974"/>
      <c r="C11" s="915">
        <v>314951</v>
      </c>
      <c r="D11" s="915"/>
      <c r="E11" s="915">
        <v>318151</v>
      </c>
      <c r="F11" s="915"/>
      <c r="G11" s="915">
        <f t="shared" ref="G11:G20" si="0">E11-C11</f>
        <v>3200</v>
      </c>
      <c r="H11" s="915"/>
      <c r="I11" s="87"/>
      <c r="J11" s="555">
        <f>G11/C11*100</f>
        <v>1.016031065149817</v>
      </c>
      <c r="K11" s="411">
        <v>38.4</v>
      </c>
      <c r="L11" s="915">
        <f>E11/K11</f>
        <v>8285.1822916666679</v>
      </c>
      <c r="M11" s="915"/>
      <c r="N11" s="1007">
        <f>(E11/319435)*100</f>
        <v>99.598040289886839</v>
      </c>
      <c r="O11" s="1007"/>
      <c r="P11" s="1005">
        <f>(K11/39.57)*100</f>
        <v>97.043214556482184</v>
      </c>
      <c r="Q11" s="1006"/>
    </row>
    <row r="12" spans="1:17" ht="24.95" customHeight="1">
      <c r="A12" s="973" t="s">
        <v>206</v>
      </c>
      <c r="B12" s="974"/>
      <c r="C12" s="915">
        <v>91119</v>
      </c>
      <c r="D12" s="915"/>
      <c r="E12" s="915">
        <v>95504</v>
      </c>
      <c r="F12" s="915"/>
      <c r="G12" s="915">
        <f t="shared" si="0"/>
        <v>4385</v>
      </c>
      <c r="H12" s="915"/>
      <c r="I12" s="87"/>
      <c r="J12" s="555">
        <f t="shared" ref="J12:J20" si="1">G12/C12*100</f>
        <v>4.8123881956562293</v>
      </c>
      <c r="K12" s="411">
        <v>12.69</v>
      </c>
      <c r="L12" s="915">
        <f>E12/K12</f>
        <v>7525.9259259259261</v>
      </c>
      <c r="M12" s="915"/>
      <c r="N12" s="1007">
        <f>(E12/96243)*100</f>
        <v>99.232151948713152</v>
      </c>
      <c r="O12" s="1007"/>
      <c r="P12" s="1005">
        <f>(K12/19.8)*100</f>
        <v>64.090909090909093</v>
      </c>
      <c r="Q12" s="1006"/>
    </row>
    <row r="13" spans="1:17" ht="24.95" customHeight="1">
      <c r="A13" s="973" t="s">
        <v>372</v>
      </c>
      <c r="B13" s="974"/>
      <c r="C13" s="915">
        <v>31229</v>
      </c>
      <c r="D13" s="915"/>
      <c r="E13" s="915">
        <v>31425</v>
      </c>
      <c r="F13" s="915"/>
      <c r="G13" s="854">
        <f>E13-C13</f>
        <v>196</v>
      </c>
      <c r="H13" s="854"/>
      <c r="I13" s="87"/>
      <c r="J13" s="568">
        <f t="shared" si="1"/>
        <v>0.62762176182394569</v>
      </c>
      <c r="K13" s="411">
        <v>5.15</v>
      </c>
      <c r="L13" s="915">
        <f t="shared" ref="L13:L19" si="2">E13/K13</f>
        <v>6101.9417475728151</v>
      </c>
      <c r="M13" s="915"/>
      <c r="N13" s="1007">
        <f>(E13/47564)*100</f>
        <v>66.068875620216971</v>
      </c>
      <c r="O13" s="1007"/>
      <c r="P13" s="1005">
        <f>(K13/229.34)*100</f>
        <v>2.2455742565623096</v>
      </c>
      <c r="Q13" s="1006"/>
    </row>
    <row r="14" spans="1:17" ht="24.95" customHeight="1">
      <c r="A14" s="975" t="s">
        <v>373</v>
      </c>
      <c r="B14" s="976"/>
      <c r="C14" s="923">
        <v>106447</v>
      </c>
      <c r="D14" s="923"/>
      <c r="E14" s="923">
        <v>111169</v>
      </c>
      <c r="F14" s="923"/>
      <c r="G14" s="923">
        <f t="shared" si="0"/>
        <v>4722</v>
      </c>
      <c r="H14" s="923"/>
      <c r="I14" s="88"/>
      <c r="J14" s="557">
        <f t="shared" si="1"/>
        <v>4.4360104089359025</v>
      </c>
      <c r="K14" s="412">
        <v>12.47</v>
      </c>
      <c r="L14" s="923">
        <f>E14/K14</f>
        <v>8914.915797914995</v>
      </c>
      <c r="M14" s="923"/>
      <c r="N14" s="1009">
        <f>(E14/114232)*100</f>
        <v>97.318614748931992</v>
      </c>
      <c r="O14" s="1009"/>
      <c r="P14" s="1010">
        <f>(K14/19.48)*100</f>
        <v>64.014373716632448</v>
      </c>
      <c r="Q14" s="1011"/>
    </row>
    <row r="15" spans="1:17" ht="24.95" customHeight="1">
      <c r="A15" s="973" t="s">
        <v>374</v>
      </c>
      <c r="B15" s="974"/>
      <c r="C15" s="915">
        <v>24500</v>
      </c>
      <c r="D15" s="915"/>
      <c r="E15" s="915">
        <v>25270</v>
      </c>
      <c r="F15" s="915"/>
      <c r="G15" s="915">
        <f t="shared" si="0"/>
        <v>770</v>
      </c>
      <c r="H15" s="915"/>
      <c r="I15" s="87"/>
      <c r="J15" s="555">
        <f t="shared" si="1"/>
        <v>3.1428571428571432</v>
      </c>
      <c r="K15" s="411">
        <v>4.5999999999999996</v>
      </c>
      <c r="L15" s="915">
        <v>5494</v>
      </c>
      <c r="M15" s="915"/>
      <c r="N15" s="1007">
        <f>(E15/61674)*100</f>
        <v>40.973505853357977</v>
      </c>
      <c r="O15" s="1007"/>
      <c r="P15" s="1005">
        <f>(K15/210.9)*100</f>
        <v>2.1811284969179705</v>
      </c>
      <c r="Q15" s="1006"/>
    </row>
    <row r="16" spans="1:17" ht="24.95" customHeight="1">
      <c r="A16" s="973" t="s">
        <v>375</v>
      </c>
      <c r="B16" s="974"/>
      <c r="C16" s="915">
        <v>32684</v>
      </c>
      <c r="D16" s="915"/>
      <c r="E16" s="915">
        <v>33830</v>
      </c>
      <c r="F16" s="915"/>
      <c r="G16" s="915">
        <f t="shared" si="0"/>
        <v>1146</v>
      </c>
      <c r="H16" s="915"/>
      <c r="I16" s="87"/>
      <c r="J16" s="555">
        <f t="shared" si="1"/>
        <v>3.5063027781177336</v>
      </c>
      <c r="K16" s="411">
        <v>6.39</v>
      </c>
      <c r="L16" s="915">
        <f t="shared" si="2"/>
        <v>5294.2097026604069</v>
      </c>
      <c r="M16" s="915"/>
      <c r="N16" s="1007">
        <f>(E16/58547)*100</f>
        <v>57.782636172647614</v>
      </c>
      <c r="O16" s="1007"/>
      <c r="P16" s="1005">
        <f>(K16/46.62)*100</f>
        <v>13.706563706563706</v>
      </c>
      <c r="Q16" s="1006"/>
    </row>
    <row r="17" spans="1:17" ht="24.95" customHeight="1">
      <c r="A17" s="973" t="s">
        <v>376</v>
      </c>
      <c r="B17" s="974"/>
      <c r="C17" s="915">
        <v>112748</v>
      </c>
      <c r="D17" s="915"/>
      <c r="E17" s="915">
        <v>122197</v>
      </c>
      <c r="F17" s="915"/>
      <c r="G17" s="915">
        <f t="shared" si="0"/>
        <v>9449</v>
      </c>
      <c r="H17" s="915"/>
      <c r="I17" s="89"/>
      <c r="J17" s="555">
        <f t="shared" si="1"/>
        <v>8.3806364636179804</v>
      </c>
      <c r="K17" s="411">
        <v>16.8</v>
      </c>
      <c r="L17" s="915">
        <f t="shared" si="2"/>
        <v>7273.6309523809523</v>
      </c>
      <c r="M17" s="915"/>
      <c r="N17" s="1007">
        <f>(E17/139279)*100</f>
        <v>87.73540878380804</v>
      </c>
      <c r="O17" s="1007"/>
      <c r="P17" s="1005">
        <f>(K17/49.72)*100</f>
        <v>33.789219629927594</v>
      </c>
      <c r="Q17" s="1006"/>
    </row>
    <row r="18" spans="1:17" ht="24.95" customHeight="1">
      <c r="A18" s="973" t="s">
        <v>218</v>
      </c>
      <c r="B18" s="974"/>
      <c r="C18" s="915">
        <v>37788</v>
      </c>
      <c r="D18" s="915"/>
      <c r="E18" s="915">
        <v>39139</v>
      </c>
      <c r="F18" s="915"/>
      <c r="G18" s="915">
        <f t="shared" si="0"/>
        <v>1351</v>
      </c>
      <c r="H18" s="915"/>
      <c r="I18" s="87"/>
      <c r="J18" s="555">
        <f t="shared" si="1"/>
        <v>3.5752090610775911</v>
      </c>
      <c r="K18" s="411">
        <v>4.57</v>
      </c>
      <c r="L18" s="915">
        <f t="shared" si="2"/>
        <v>8564.3326039387302</v>
      </c>
      <c r="M18" s="915"/>
      <c r="N18" s="1007">
        <f>(E18/61119)*100</f>
        <v>64.037369721363248</v>
      </c>
      <c r="O18" s="1007"/>
      <c r="P18" s="1005">
        <f>(K18/19.6)*100</f>
        <v>23.316326530612244</v>
      </c>
      <c r="Q18" s="1006"/>
    </row>
    <row r="19" spans="1:17" ht="24.95" customHeight="1">
      <c r="A19" s="973" t="s">
        <v>202</v>
      </c>
      <c r="B19" s="974"/>
      <c r="C19" s="915">
        <v>57375</v>
      </c>
      <c r="D19" s="915"/>
      <c r="E19" s="915">
        <v>59166</v>
      </c>
      <c r="F19" s="915"/>
      <c r="G19" s="915">
        <f t="shared" si="0"/>
        <v>1791</v>
      </c>
      <c r="H19" s="915"/>
      <c r="I19" s="87"/>
      <c r="J19" s="555">
        <f t="shared" si="1"/>
        <v>3.1215686274509804</v>
      </c>
      <c r="K19" s="411">
        <v>10.24</v>
      </c>
      <c r="L19" s="915">
        <f t="shared" si="2"/>
        <v>5777.9296875</v>
      </c>
      <c r="M19" s="915"/>
      <c r="N19" s="1007">
        <f>(E19/118898)*100</f>
        <v>49.761980857541758</v>
      </c>
      <c r="O19" s="1007"/>
      <c r="P19" s="1005">
        <f>(K19/87.01)*100</f>
        <v>11.768762211240087</v>
      </c>
      <c r="Q19" s="1006"/>
    </row>
    <row r="20" spans="1:17" ht="24.95" customHeight="1" thickBot="1">
      <c r="A20" s="967" t="s">
        <v>204</v>
      </c>
      <c r="B20" s="968"/>
      <c r="C20" s="969">
        <v>17176</v>
      </c>
      <c r="D20" s="969"/>
      <c r="E20" s="969">
        <v>17314</v>
      </c>
      <c r="F20" s="969"/>
      <c r="G20" s="969">
        <f t="shared" si="0"/>
        <v>138</v>
      </c>
      <c r="H20" s="969"/>
      <c r="I20" s="129"/>
      <c r="J20" s="569">
        <f t="shared" si="1"/>
        <v>0.80344666977177448</v>
      </c>
      <c r="K20" s="413">
        <v>3.63</v>
      </c>
      <c r="L20" s="969">
        <f>E20/K20</f>
        <v>4769.69696969697</v>
      </c>
      <c r="M20" s="969"/>
      <c r="N20" s="1008">
        <f>(E20/51186)*100</f>
        <v>33.825655452662836</v>
      </c>
      <c r="O20" s="1008"/>
      <c r="P20" s="1003">
        <f>(K20/204.2)*100</f>
        <v>1.7776689520078355</v>
      </c>
      <c r="Q20" s="1004"/>
    </row>
    <row r="21" spans="1:17" ht="15" customHeight="1">
      <c r="A21" s="5" t="s">
        <v>377</v>
      </c>
      <c r="J21" s="1"/>
      <c r="K21" s="1"/>
      <c r="L21" s="1"/>
      <c r="M21" s="1"/>
      <c r="N21" s="1"/>
      <c r="Q21" s="7" t="s">
        <v>634</v>
      </c>
    </row>
    <row r="22" spans="1:17" ht="15" customHeight="1">
      <c r="J22" s="1"/>
      <c r="K22" s="1"/>
      <c r="L22" s="1"/>
      <c r="M22" s="1"/>
      <c r="N22" s="1"/>
      <c r="O22" s="1"/>
      <c r="P22" s="1"/>
    </row>
    <row r="23" spans="1:17" ht="15" customHeight="1" thickBot="1">
      <c r="A23" s="5" t="s">
        <v>9</v>
      </c>
      <c r="J23" s="1"/>
      <c r="K23" s="1"/>
      <c r="L23" s="1"/>
      <c r="M23" s="1"/>
      <c r="N23" s="1"/>
      <c r="O23" s="1"/>
      <c r="P23" s="1"/>
      <c r="Q23" s="7" t="s">
        <v>22</v>
      </c>
    </row>
    <row r="24" spans="1:17" ht="15" customHeight="1">
      <c r="A24" s="135"/>
      <c r="B24" s="136"/>
      <c r="C24" s="907" t="s">
        <v>380</v>
      </c>
      <c r="D24" s="859" t="s">
        <v>378</v>
      </c>
      <c r="E24" s="859"/>
      <c r="F24" s="859"/>
      <c r="G24" s="859"/>
      <c r="H24" s="137"/>
      <c r="I24" s="138"/>
      <c r="J24" s="879" t="s">
        <v>379</v>
      </c>
      <c r="K24" s="879"/>
      <c r="L24" s="879"/>
      <c r="M24" s="879"/>
      <c r="N24" s="879"/>
      <c r="O24" s="879"/>
      <c r="P24" s="879"/>
      <c r="Q24" s="139"/>
    </row>
    <row r="25" spans="1:17" ht="15" customHeight="1">
      <c r="A25" s="140"/>
      <c r="B25" s="91"/>
      <c r="C25" s="899"/>
      <c r="D25" s="861"/>
      <c r="E25" s="861"/>
      <c r="F25" s="861"/>
      <c r="G25" s="861"/>
      <c r="H25" s="550"/>
      <c r="I25" s="547"/>
      <c r="J25" s="839"/>
      <c r="K25" s="839"/>
      <c r="L25" s="839"/>
      <c r="M25" s="839"/>
      <c r="N25" s="839"/>
      <c r="O25" s="839"/>
      <c r="P25" s="839"/>
      <c r="Q25" s="558" t="s">
        <v>299</v>
      </c>
    </row>
    <row r="26" spans="1:17" ht="24.95" customHeight="1">
      <c r="A26" s="142"/>
      <c r="B26" s="92"/>
      <c r="C26" s="943"/>
      <c r="D26" s="545" t="s">
        <v>343</v>
      </c>
      <c r="E26" s="545" t="s">
        <v>344</v>
      </c>
      <c r="F26" s="545" t="s">
        <v>345</v>
      </c>
      <c r="G26" s="545" t="s">
        <v>346</v>
      </c>
      <c r="H26" s="150" t="s">
        <v>381</v>
      </c>
      <c r="I26" s="351"/>
      <c r="J26" s="549" t="s">
        <v>347</v>
      </c>
      <c r="K26" s="545" t="s">
        <v>293</v>
      </c>
      <c r="L26" s="545" t="s">
        <v>294</v>
      </c>
      <c r="M26" s="545" t="s">
        <v>295</v>
      </c>
      <c r="N26" s="545" t="s">
        <v>296</v>
      </c>
      <c r="O26" s="545" t="s">
        <v>297</v>
      </c>
      <c r="P26" s="545" t="s">
        <v>298</v>
      </c>
      <c r="Q26" s="556"/>
    </row>
    <row r="27" spans="1:17" ht="21" customHeight="1">
      <c r="A27" s="143"/>
      <c r="B27" s="90"/>
      <c r="C27" s="60"/>
      <c r="D27" s="50"/>
      <c r="E27" s="562"/>
      <c r="F27" s="50"/>
      <c r="G27" s="50"/>
      <c r="H27" s="453"/>
      <c r="I27" s="453"/>
      <c r="J27" s="50"/>
      <c r="K27" s="50"/>
      <c r="L27" s="50"/>
      <c r="M27" s="50"/>
      <c r="N27" s="50"/>
      <c r="O27" s="50"/>
      <c r="P27" s="50"/>
      <c r="Q27" s="144"/>
    </row>
    <row r="28" spans="1:17" ht="24.95" customHeight="1">
      <c r="A28" s="898" t="s">
        <v>382</v>
      </c>
      <c r="B28" s="899"/>
      <c r="C28" s="17">
        <f>SUM(D28,H28,Q28)</f>
        <v>971772</v>
      </c>
      <c r="D28" s="552">
        <f>SUM(E28:G28)</f>
        <v>170707</v>
      </c>
      <c r="E28" s="339">
        <v>57182</v>
      </c>
      <c r="F28" s="339">
        <v>56960</v>
      </c>
      <c r="G28" s="339">
        <v>56565</v>
      </c>
      <c r="H28" s="552">
        <f>SUM(J28:P28)</f>
        <v>611231</v>
      </c>
      <c r="I28" s="552"/>
      <c r="J28" s="339">
        <v>55878</v>
      </c>
      <c r="K28" s="339">
        <v>49416</v>
      </c>
      <c r="L28" s="339">
        <v>55155</v>
      </c>
      <c r="M28" s="339">
        <v>62634</v>
      </c>
      <c r="N28" s="339">
        <v>143008</v>
      </c>
      <c r="O28" s="339">
        <v>124511</v>
      </c>
      <c r="P28" s="339">
        <v>120629</v>
      </c>
      <c r="Q28" s="340">
        <v>189834</v>
      </c>
    </row>
    <row r="29" spans="1:17" ht="21" customHeight="1">
      <c r="A29" s="559"/>
      <c r="B29" s="338"/>
      <c r="C29" s="548"/>
      <c r="D29" s="552"/>
      <c r="E29" s="552"/>
      <c r="F29" s="552"/>
      <c r="G29" s="552"/>
      <c r="H29" s="552"/>
      <c r="I29" s="552"/>
      <c r="J29" s="552"/>
      <c r="L29" s="552"/>
      <c r="M29" s="552"/>
      <c r="N29" s="552"/>
      <c r="O29" s="552"/>
      <c r="P29" s="552"/>
      <c r="Q29" s="341"/>
    </row>
    <row r="30" spans="1:17" ht="21" customHeight="1">
      <c r="A30" s="559"/>
      <c r="B30" s="338"/>
      <c r="C30" s="548"/>
      <c r="D30" s="552"/>
      <c r="E30" s="552"/>
      <c r="F30" s="552"/>
      <c r="G30" s="552"/>
      <c r="H30" s="552"/>
      <c r="I30" s="552"/>
      <c r="J30" s="552"/>
      <c r="L30" s="552"/>
      <c r="M30" s="552"/>
      <c r="N30" s="552"/>
      <c r="O30" s="552"/>
      <c r="P30" s="552"/>
      <c r="Q30" s="145"/>
    </row>
    <row r="31" spans="1:17" ht="24.95" customHeight="1">
      <c r="A31" s="904" t="s">
        <v>383</v>
      </c>
      <c r="B31" s="970"/>
      <c r="C31" s="548">
        <f>SUM(D31,H31,Q31)</f>
        <v>853165</v>
      </c>
      <c r="D31" s="552">
        <f>SUM(E31:G31)</f>
        <v>148037</v>
      </c>
      <c r="E31" s="339">
        <v>49325</v>
      </c>
      <c r="F31" s="339">
        <v>49385</v>
      </c>
      <c r="G31" s="339">
        <v>49327</v>
      </c>
      <c r="H31" s="552">
        <f>SUM(J31:P31)</f>
        <v>537842</v>
      </c>
      <c r="I31" s="552"/>
      <c r="J31" s="339">
        <v>49069</v>
      </c>
      <c r="K31" s="552">
        <v>43576</v>
      </c>
      <c r="L31" s="339">
        <v>48397</v>
      </c>
      <c r="M31" s="339">
        <v>54803</v>
      </c>
      <c r="N31" s="339">
        <v>125719</v>
      </c>
      <c r="O31" s="339">
        <v>110442</v>
      </c>
      <c r="P31" s="339">
        <v>105836</v>
      </c>
      <c r="Q31" s="340">
        <v>167286</v>
      </c>
    </row>
    <row r="32" spans="1:17" ht="21" customHeight="1">
      <c r="A32" s="559"/>
      <c r="B32" s="337"/>
      <c r="C32" s="17"/>
      <c r="D32" s="552"/>
      <c r="E32" s="552"/>
      <c r="F32" s="552"/>
      <c r="G32" s="552"/>
      <c r="H32" s="552"/>
      <c r="I32" s="552"/>
      <c r="J32" s="94"/>
      <c r="K32" s="94"/>
      <c r="L32" s="94"/>
      <c r="M32" s="94"/>
      <c r="N32" s="94"/>
      <c r="O32" s="94"/>
      <c r="P32" s="94"/>
      <c r="Q32" s="343"/>
    </row>
    <row r="33" spans="1:17" ht="21" customHeight="1">
      <c r="A33" s="559"/>
      <c r="B33" s="337"/>
      <c r="C33" s="17"/>
      <c r="D33" s="552"/>
      <c r="E33" s="552"/>
      <c r="F33" s="552"/>
      <c r="G33" s="552"/>
      <c r="H33" s="552"/>
      <c r="I33" s="552"/>
      <c r="J33" s="552"/>
      <c r="K33" s="552"/>
      <c r="L33" s="552"/>
      <c r="M33" s="552"/>
      <c r="N33" s="552"/>
      <c r="O33" s="552"/>
      <c r="P33" s="552"/>
      <c r="Q33" s="145"/>
    </row>
    <row r="34" spans="1:17" ht="24.95" customHeight="1">
      <c r="A34" s="898" t="s">
        <v>384</v>
      </c>
      <c r="B34" s="899"/>
      <c r="C34" s="17">
        <f>SUM(D34,H34,Q34)</f>
        <v>118607</v>
      </c>
      <c r="D34" s="552">
        <f>SUM(E34:G34)</f>
        <v>22670</v>
      </c>
      <c r="E34" s="339">
        <v>7857</v>
      </c>
      <c r="F34" s="339">
        <v>7575</v>
      </c>
      <c r="G34" s="339">
        <v>7238</v>
      </c>
      <c r="H34" s="552">
        <f>SUM(J34:P34)</f>
        <v>73389</v>
      </c>
      <c r="I34" s="552"/>
      <c r="J34" s="339">
        <v>6809</v>
      </c>
      <c r="K34" s="552">
        <v>5840</v>
      </c>
      <c r="L34" s="339">
        <v>6758</v>
      </c>
      <c r="M34" s="339">
        <v>7831</v>
      </c>
      <c r="N34" s="339">
        <v>17289</v>
      </c>
      <c r="O34" s="339">
        <v>14069</v>
      </c>
      <c r="P34" s="339">
        <v>14793</v>
      </c>
      <c r="Q34" s="340">
        <v>22548</v>
      </c>
    </row>
    <row r="35" spans="1:17" ht="21" customHeight="1" thickBot="1">
      <c r="A35" s="146"/>
      <c r="B35" s="147"/>
      <c r="C35" s="553"/>
      <c r="D35" s="554"/>
      <c r="E35" s="554"/>
      <c r="F35" s="554"/>
      <c r="G35" s="554"/>
      <c r="H35" s="554"/>
      <c r="I35" s="554"/>
      <c r="J35" s="149"/>
      <c r="K35" s="149"/>
      <c r="L35" s="149"/>
      <c r="M35" s="149"/>
      <c r="N35" s="149"/>
      <c r="O35" s="149"/>
      <c r="P35" s="149"/>
      <c r="Q35" s="342"/>
    </row>
    <row r="36" spans="1:17" ht="15" customHeight="1">
      <c r="P36" s="5"/>
      <c r="Q36" s="7" t="s">
        <v>635</v>
      </c>
    </row>
    <row r="37" spans="1:17" ht="15" customHeight="1">
      <c r="A37" s="5" t="s">
        <v>385</v>
      </c>
    </row>
    <row r="38" spans="1:17" ht="15" customHeight="1">
      <c r="A38" s="5" t="s">
        <v>536</v>
      </c>
      <c r="J38" s="5" t="s">
        <v>386</v>
      </c>
    </row>
    <row r="39" spans="1:17" ht="15" customHeight="1">
      <c r="A39" s="5" t="s">
        <v>537</v>
      </c>
      <c r="J39" s="5" t="s">
        <v>387</v>
      </c>
    </row>
    <row r="40" spans="1:17" ht="15" customHeight="1">
      <c r="A40" s="5" t="s">
        <v>538</v>
      </c>
      <c r="J40" s="1"/>
      <c r="K40" s="1"/>
      <c r="L40" s="1"/>
      <c r="M40" s="1"/>
      <c r="N40" s="1"/>
      <c r="O40" s="1"/>
      <c r="P40" s="1"/>
    </row>
  </sheetData>
  <sheetProtection sheet="1" objects="1" scenarios="1"/>
  <mergeCells count="102">
    <mergeCell ref="J1:Q1"/>
    <mergeCell ref="L10:M10"/>
    <mergeCell ref="P13:Q13"/>
    <mergeCell ref="L12:M12"/>
    <mergeCell ref="L7:M8"/>
    <mergeCell ref="L13:M13"/>
    <mergeCell ref="N13:O13"/>
    <mergeCell ref="P12:Q12"/>
    <mergeCell ref="N12:O12"/>
    <mergeCell ref="J5:Q5"/>
    <mergeCell ref="N8:O8"/>
    <mergeCell ref="P10:Q10"/>
    <mergeCell ref="P9:Q9"/>
    <mergeCell ref="K7:K8"/>
    <mergeCell ref="N10:O10"/>
    <mergeCell ref="N11:O11"/>
    <mergeCell ref="L11:M11"/>
    <mergeCell ref="P11:Q11"/>
    <mergeCell ref="N7:O7"/>
    <mergeCell ref="P8:Q8"/>
    <mergeCell ref="N9:O9"/>
    <mergeCell ref="A4:H4"/>
    <mergeCell ref="P7:Q7"/>
    <mergeCell ref="G9:H9"/>
    <mergeCell ref="J7:J8"/>
    <mergeCell ref="J4:Q4"/>
    <mergeCell ref="G13:H13"/>
    <mergeCell ref="A7:B9"/>
    <mergeCell ref="A12:B12"/>
    <mergeCell ref="E12:F12"/>
    <mergeCell ref="C7:F8"/>
    <mergeCell ref="C12:D12"/>
    <mergeCell ref="C9:D9"/>
    <mergeCell ref="G12:H12"/>
    <mergeCell ref="A11:B11"/>
    <mergeCell ref="C11:D11"/>
    <mergeCell ref="E11:F11"/>
    <mergeCell ref="A10:B10"/>
    <mergeCell ref="E10:F10"/>
    <mergeCell ref="G11:H11"/>
    <mergeCell ref="G10:H10"/>
    <mergeCell ref="C10:D10"/>
    <mergeCell ref="E9:F9"/>
    <mergeCell ref="G7:H8"/>
    <mergeCell ref="P18:Q18"/>
    <mergeCell ref="E18:F18"/>
    <mergeCell ref="A18:B18"/>
    <mergeCell ref="C18:D18"/>
    <mergeCell ref="A16:B16"/>
    <mergeCell ref="C16:D16"/>
    <mergeCell ref="A17:B17"/>
    <mergeCell ref="C17:D17"/>
    <mergeCell ref="G17:H17"/>
    <mergeCell ref="G18:H18"/>
    <mergeCell ref="N17:O17"/>
    <mergeCell ref="L17:M17"/>
    <mergeCell ref="L16:M16"/>
    <mergeCell ref="G16:H16"/>
    <mergeCell ref="L18:M18"/>
    <mergeCell ref="N18:O18"/>
    <mergeCell ref="L14:M14"/>
    <mergeCell ref="N14:O14"/>
    <mergeCell ref="P14:Q14"/>
    <mergeCell ref="P16:Q16"/>
    <mergeCell ref="P15:Q15"/>
    <mergeCell ref="P17:Q17"/>
    <mergeCell ref="N16:O16"/>
    <mergeCell ref="E17:F17"/>
    <mergeCell ref="A13:B13"/>
    <mergeCell ref="C13:D13"/>
    <mergeCell ref="E13:F13"/>
    <mergeCell ref="E16:F16"/>
    <mergeCell ref="E14:F14"/>
    <mergeCell ref="C15:D15"/>
    <mergeCell ref="E15:F15"/>
    <mergeCell ref="A15:B15"/>
    <mergeCell ref="A14:B14"/>
    <mergeCell ref="C14:D14"/>
    <mergeCell ref="C24:C26"/>
    <mergeCell ref="P20:Q20"/>
    <mergeCell ref="G14:H14"/>
    <mergeCell ref="G15:H15"/>
    <mergeCell ref="A31:B31"/>
    <mergeCell ref="A34:B34"/>
    <mergeCell ref="A20:B20"/>
    <mergeCell ref="C20:D20"/>
    <mergeCell ref="D24:G25"/>
    <mergeCell ref="A28:B28"/>
    <mergeCell ref="A19:B19"/>
    <mergeCell ref="P19:Q19"/>
    <mergeCell ref="E19:F19"/>
    <mergeCell ref="G19:H19"/>
    <mergeCell ref="L19:M19"/>
    <mergeCell ref="N19:O19"/>
    <mergeCell ref="J24:P25"/>
    <mergeCell ref="E20:F20"/>
    <mergeCell ref="G20:H20"/>
    <mergeCell ref="L20:M20"/>
    <mergeCell ref="N20:O20"/>
    <mergeCell ref="C19:D19"/>
    <mergeCell ref="L15:M15"/>
    <mergeCell ref="N15:O15"/>
  </mergeCells>
  <phoneticPr fontId="17"/>
  <printOptions horizontalCentered="1"/>
  <pageMargins left="0.59055118110236227" right="0.59055118110236227" top="0.59055118110236227" bottom="0.59055118110236227" header="0.39370078740157483" footer="0.39370078740157483"/>
  <pageSetup paperSize="9" firstPageNumber="0" orientation="portrait" verticalDpi="300" r:id="rId1"/>
  <headerFooter scaleWithDoc="0" alignWithMargins="0">
    <oddHeader>&amp;R&amp;"ＭＳ 明朝,標準"&amp;10人　口</oddHeader>
    <oddFooter>&amp;C&amp;"ＭＳ 明朝,標準"&amp;12&amp;A</oddFooter>
  </headerFooter>
  <colBreaks count="1" manualBreakCount="1">
    <brk id="8"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2:L65529"/>
  <sheetViews>
    <sheetView view="pageBreakPreview" zoomScale="120" zoomScaleNormal="120" zoomScaleSheetLayoutView="120" workbookViewId="0">
      <selection activeCell="J6" sqref="J6"/>
    </sheetView>
  </sheetViews>
  <sheetFormatPr defaultRowHeight="5.0999999999999996" customHeight="1"/>
  <cols>
    <col min="1" max="1" width="15" style="348" customWidth="1"/>
    <col min="2" max="2" width="8.125" style="348" customWidth="1"/>
    <col min="3" max="3" width="9" style="348" bestFit="1" customWidth="1"/>
    <col min="4" max="4" width="8.125" style="348" customWidth="1"/>
    <col min="5" max="5" width="8.75" style="348" bestFit="1" customWidth="1"/>
    <col min="6" max="6" width="8.125" style="348" customWidth="1"/>
    <col min="7" max="7" width="8.75" style="348" bestFit="1" customWidth="1"/>
    <col min="8" max="8" width="7.375" style="348" customWidth="1"/>
    <col min="9" max="11" width="7.25" style="348" customWidth="1"/>
    <col min="12" max="16384" width="9" style="348"/>
  </cols>
  <sheetData>
    <row r="2" spans="1:12" ht="15" customHeight="1" thickBot="1">
      <c r="A2" s="5" t="s">
        <v>388</v>
      </c>
      <c r="J2" s="5"/>
      <c r="K2" s="7" t="s">
        <v>523</v>
      </c>
      <c r="L2" s="5"/>
    </row>
    <row r="3" spans="1:12" ht="24.95" customHeight="1">
      <c r="A3" s="985" t="s">
        <v>472</v>
      </c>
      <c r="B3" s="909"/>
      <c r="C3" s="859" t="s">
        <v>389</v>
      </c>
      <c r="D3" s="859"/>
      <c r="E3" s="859"/>
      <c r="F3" s="859"/>
      <c r="G3" s="859"/>
      <c r="H3" s="859"/>
      <c r="I3" s="243" t="s">
        <v>390</v>
      </c>
      <c r="J3" s="243" t="s">
        <v>391</v>
      </c>
      <c r="K3" s="1016" t="s">
        <v>392</v>
      </c>
    </row>
    <row r="4" spans="1:12" ht="24.95" customHeight="1">
      <c r="A4" s="904"/>
      <c r="B4" s="924"/>
      <c r="C4" s="861"/>
      <c r="D4" s="861"/>
      <c r="E4" s="861"/>
      <c r="F4" s="861"/>
      <c r="G4" s="861"/>
      <c r="H4" s="861"/>
      <c r="I4" s="67" t="s">
        <v>393</v>
      </c>
      <c r="J4" s="67" t="s">
        <v>394</v>
      </c>
      <c r="K4" s="1017"/>
    </row>
    <row r="5" spans="1:12" ht="24.95" customHeight="1">
      <c r="A5" s="986"/>
      <c r="B5" s="911"/>
      <c r="C5" s="415" t="s">
        <v>27</v>
      </c>
      <c r="D5" s="415" t="s">
        <v>395</v>
      </c>
      <c r="E5" s="415" t="s">
        <v>396</v>
      </c>
      <c r="F5" s="415" t="s">
        <v>397</v>
      </c>
      <c r="G5" s="415" t="s">
        <v>398</v>
      </c>
      <c r="H5" s="415" t="s">
        <v>399</v>
      </c>
      <c r="I5" s="68" t="s">
        <v>400</v>
      </c>
      <c r="J5" s="68" t="s">
        <v>401</v>
      </c>
      <c r="K5" s="244" t="s">
        <v>401</v>
      </c>
    </row>
    <row r="6" spans="1:12" ht="21" customHeight="1">
      <c r="A6" s="962" t="s">
        <v>557</v>
      </c>
      <c r="B6" s="61" t="s">
        <v>565</v>
      </c>
      <c r="C6" s="187">
        <f>SUM(D6:H6)</f>
        <v>515195</v>
      </c>
      <c r="D6" s="552">
        <v>255305</v>
      </c>
      <c r="E6" s="552">
        <v>30445</v>
      </c>
      <c r="F6" s="552">
        <v>206929</v>
      </c>
      <c r="G6" s="552">
        <v>11335</v>
      </c>
      <c r="H6" s="552">
        <v>11181</v>
      </c>
      <c r="I6" s="552">
        <v>3989</v>
      </c>
      <c r="J6" s="561" t="s">
        <v>143</v>
      </c>
      <c r="K6" s="560" t="s">
        <v>143</v>
      </c>
    </row>
    <row r="7" spans="1:12" ht="21" customHeight="1">
      <c r="A7" s="904"/>
      <c r="B7" s="169" t="s">
        <v>636</v>
      </c>
      <c r="C7" s="417">
        <f>SUM(D7:H7)</f>
        <v>553464</v>
      </c>
      <c r="D7" s="421">
        <v>269257</v>
      </c>
      <c r="E7" s="421">
        <v>29704</v>
      </c>
      <c r="F7" s="421">
        <v>234084</v>
      </c>
      <c r="G7" s="421">
        <v>11040</v>
      </c>
      <c r="H7" s="421">
        <v>9379</v>
      </c>
      <c r="I7" s="421">
        <v>5741</v>
      </c>
      <c r="J7" s="425" t="s">
        <v>143</v>
      </c>
      <c r="K7" s="423" t="s">
        <v>143</v>
      </c>
    </row>
    <row r="8" spans="1:12" ht="20.100000000000001" customHeight="1">
      <c r="A8" s="1018"/>
      <c r="B8" s="1019"/>
      <c r="C8" s="417"/>
      <c r="D8" s="421"/>
      <c r="E8" s="421"/>
      <c r="F8" s="421"/>
      <c r="G8" s="421" t="s">
        <v>24</v>
      </c>
      <c r="H8" s="421" t="s">
        <v>24</v>
      </c>
      <c r="I8" s="421" t="s">
        <v>24</v>
      </c>
      <c r="J8" s="276" t="s">
        <v>24</v>
      </c>
      <c r="K8" s="277" t="s">
        <v>24</v>
      </c>
    </row>
    <row r="9" spans="1:12" ht="21" customHeight="1">
      <c r="A9" s="891" t="s">
        <v>371</v>
      </c>
      <c r="B9" s="1014"/>
      <c r="C9" s="417">
        <f>SUM(D9:H9)</f>
        <v>134410</v>
      </c>
      <c r="D9" s="421">
        <v>52475</v>
      </c>
      <c r="E9" s="421">
        <v>7805</v>
      </c>
      <c r="F9" s="421">
        <v>68261</v>
      </c>
      <c r="G9" s="421">
        <v>3351</v>
      </c>
      <c r="H9" s="421">
        <v>2518</v>
      </c>
      <c r="I9" s="421">
        <v>853</v>
      </c>
      <c r="J9" s="425" t="s">
        <v>143</v>
      </c>
      <c r="K9" s="423" t="s">
        <v>143</v>
      </c>
    </row>
    <row r="10" spans="1:12" ht="21" customHeight="1">
      <c r="A10" s="891" t="s">
        <v>206</v>
      </c>
      <c r="B10" s="1014"/>
      <c r="C10" s="417">
        <f t="shared" ref="C10:C18" si="0">SUM(D10:H10)</f>
        <v>39056</v>
      </c>
      <c r="D10" s="421">
        <v>15641</v>
      </c>
      <c r="E10" s="421">
        <v>966</v>
      </c>
      <c r="F10" s="421">
        <v>21460</v>
      </c>
      <c r="G10" s="421">
        <v>444</v>
      </c>
      <c r="H10" s="421">
        <v>545</v>
      </c>
      <c r="I10" s="421">
        <v>235</v>
      </c>
      <c r="J10" s="425" t="s">
        <v>143</v>
      </c>
      <c r="K10" s="423" t="s">
        <v>143</v>
      </c>
    </row>
    <row r="11" spans="1:12" ht="21" customHeight="1">
      <c r="A11" s="891" t="s">
        <v>372</v>
      </c>
      <c r="B11" s="1014"/>
      <c r="C11" s="417">
        <f t="shared" si="0"/>
        <v>20057</v>
      </c>
      <c r="D11" s="421">
        <v>8975</v>
      </c>
      <c r="E11" s="421">
        <v>1178</v>
      </c>
      <c r="F11" s="421">
        <v>8421</v>
      </c>
      <c r="G11" s="421">
        <v>1110</v>
      </c>
      <c r="H11" s="421">
        <v>373</v>
      </c>
      <c r="I11" s="421">
        <v>426</v>
      </c>
      <c r="J11" s="425" t="s">
        <v>143</v>
      </c>
      <c r="K11" s="423" t="s">
        <v>143</v>
      </c>
    </row>
    <row r="12" spans="1:12" ht="21" customHeight="1">
      <c r="A12" s="892" t="s">
        <v>373</v>
      </c>
      <c r="B12" s="1015"/>
      <c r="C12" s="418">
        <f t="shared" si="0"/>
        <v>43763</v>
      </c>
      <c r="D12" s="420">
        <v>18531</v>
      </c>
      <c r="E12" s="420">
        <v>1352</v>
      </c>
      <c r="F12" s="420">
        <v>22415</v>
      </c>
      <c r="G12" s="420">
        <v>714</v>
      </c>
      <c r="H12" s="420">
        <v>751</v>
      </c>
      <c r="I12" s="420">
        <v>198</v>
      </c>
      <c r="J12" s="425" t="s">
        <v>143</v>
      </c>
      <c r="K12" s="423" t="s">
        <v>143</v>
      </c>
    </row>
    <row r="13" spans="1:12" ht="21" customHeight="1">
      <c r="A13" s="891" t="s">
        <v>374</v>
      </c>
      <c r="B13" s="1014"/>
      <c r="C13" s="417">
        <f t="shared" si="0"/>
        <v>25700</v>
      </c>
      <c r="D13" s="421">
        <v>11132</v>
      </c>
      <c r="E13" s="421">
        <v>1741</v>
      </c>
      <c r="F13" s="421">
        <v>11873</v>
      </c>
      <c r="G13" s="421">
        <v>520</v>
      </c>
      <c r="H13" s="421">
        <v>434</v>
      </c>
      <c r="I13" s="421">
        <v>376</v>
      </c>
      <c r="J13" s="425" t="s">
        <v>143</v>
      </c>
      <c r="K13" s="423" t="s">
        <v>143</v>
      </c>
    </row>
    <row r="14" spans="1:12" ht="21" customHeight="1">
      <c r="A14" s="891" t="s">
        <v>375</v>
      </c>
      <c r="B14" s="1014"/>
      <c r="C14" s="417">
        <f t="shared" si="0"/>
        <v>20468</v>
      </c>
      <c r="D14" s="421">
        <v>10510</v>
      </c>
      <c r="E14" s="421">
        <v>1551</v>
      </c>
      <c r="F14" s="421">
        <v>7453</v>
      </c>
      <c r="G14" s="421">
        <v>740</v>
      </c>
      <c r="H14" s="421">
        <v>214</v>
      </c>
      <c r="I14" s="421">
        <v>113</v>
      </c>
      <c r="J14" s="425" t="s">
        <v>143</v>
      </c>
      <c r="K14" s="423" t="s">
        <v>143</v>
      </c>
    </row>
    <row r="15" spans="1:12" ht="21" customHeight="1">
      <c r="A15" s="891" t="s">
        <v>376</v>
      </c>
      <c r="B15" s="1014"/>
      <c r="C15" s="17">
        <f t="shared" si="0"/>
        <v>52841</v>
      </c>
      <c r="D15" s="414">
        <v>25485</v>
      </c>
      <c r="E15" s="421">
        <v>2803</v>
      </c>
      <c r="F15" s="421">
        <v>23183</v>
      </c>
      <c r="G15" s="421">
        <v>435</v>
      </c>
      <c r="H15" s="421">
        <v>935</v>
      </c>
      <c r="I15" s="421">
        <v>347</v>
      </c>
      <c r="J15" s="425" t="s">
        <v>143</v>
      </c>
      <c r="K15" s="423" t="s">
        <v>143</v>
      </c>
    </row>
    <row r="16" spans="1:12" ht="21" customHeight="1">
      <c r="A16" s="891" t="s">
        <v>218</v>
      </c>
      <c r="B16" s="1014"/>
      <c r="C16" s="417">
        <f t="shared" si="0"/>
        <v>21672</v>
      </c>
      <c r="D16" s="421">
        <v>10586</v>
      </c>
      <c r="E16" s="421">
        <v>1787</v>
      </c>
      <c r="F16" s="421">
        <v>8492</v>
      </c>
      <c r="G16" s="421">
        <v>578</v>
      </c>
      <c r="H16" s="421">
        <v>229</v>
      </c>
      <c r="I16" s="421">
        <v>81</v>
      </c>
      <c r="J16" s="425" t="s">
        <v>143</v>
      </c>
      <c r="K16" s="423" t="s">
        <v>143</v>
      </c>
    </row>
    <row r="17" spans="1:12" ht="21" customHeight="1">
      <c r="A17" s="891" t="s">
        <v>202</v>
      </c>
      <c r="B17" s="1014"/>
      <c r="C17" s="417">
        <f>SUM(D17:H17)</f>
        <v>41854</v>
      </c>
      <c r="D17" s="421">
        <v>24464</v>
      </c>
      <c r="E17" s="421">
        <v>1919</v>
      </c>
      <c r="F17" s="421">
        <v>14429</v>
      </c>
      <c r="G17" s="421">
        <v>393</v>
      </c>
      <c r="H17" s="421">
        <v>649</v>
      </c>
      <c r="I17" s="421">
        <v>415</v>
      </c>
      <c r="J17" s="425" t="s">
        <v>143</v>
      </c>
      <c r="K17" s="423" t="s">
        <v>143</v>
      </c>
    </row>
    <row r="18" spans="1:12" ht="21" customHeight="1" thickBot="1">
      <c r="A18" s="967" t="s">
        <v>204</v>
      </c>
      <c r="B18" s="968"/>
      <c r="C18" s="419">
        <f t="shared" si="0"/>
        <v>21608</v>
      </c>
      <c r="D18" s="422">
        <v>11956</v>
      </c>
      <c r="E18" s="422">
        <v>2265</v>
      </c>
      <c r="F18" s="422">
        <v>6586</v>
      </c>
      <c r="G18" s="422">
        <v>619</v>
      </c>
      <c r="H18" s="422">
        <v>182</v>
      </c>
      <c r="I18" s="422">
        <v>300</v>
      </c>
      <c r="J18" s="426" t="s">
        <v>143</v>
      </c>
      <c r="K18" s="424" t="s">
        <v>143</v>
      </c>
    </row>
    <row r="19" spans="1:12" ht="15" customHeight="1">
      <c r="A19" s="1013" t="s">
        <v>637</v>
      </c>
      <c r="B19" s="1013"/>
      <c r="C19" s="1013"/>
      <c r="D19" s="1013"/>
      <c r="E19" s="1013"/>
      <c r="F19" s="1013"/>
      <c r="G19" s="1013"/>
      <c r="H19" s="1013"/>
      <c r="K19" s="7" t="s">
        <v>634</v>
      </c>
    </row>
    <row r="20" spans="1:12" ht="19.5" customHeight="1">
      <c r="A20" s="5"/>
    </row>
    <row r="21" spans="1:12" ht="15" customHeight="1" thickBot="1">
      <c r="A21" s="5" t="s">
        <v>402</v>
      </c>
      <c r="K21" s="7" t="s">
        <v>523</v>
      </c>
    </row>
    <row r="22" spans="1:12" ht="24.95" customHeight="1">
      <c r="A22" s="1020" t="s">
        <v>403</v>
      </c>
      <c r="B22" s="859" t="s">
        <v>404</v>
      </c>
      <c r="C22" s="859"/>
      <c r="D22" s="859" t="s">
        <v>405</v>
      </c>
      <c r="E22" s="859"/>
      <c r="F22" s="859" t="s">
        <v>406</v>
      </c>
      <c r="G22" s="859"/>
      <c r="H22" s="859"/>
      <c r="I22" s="859"/>
      <c r="J22" s="907" t="s">
        <v>392</v>
      </c>
      <c r="K22" s="996"/>
    </row>
    <row r="23" spans="1:12" ht="24.95" customHeight="1">
      <c r="A23" s="1021"/>
      <c r="B23" s="943" t="s">
        <v>638</v>
      </c>
      <c r="C23" s="943" t="s">
        <v>639</v>
      </c>
      <c r="D23" s="943" t="s">
        <v>640</v>
      </c>
      <c r="E23" s="943" t="s">
        <v>641</v>
      </c>
      <c r="F23" s="861" t="s">
        <v>407</v>
      </c>
      <c r="G23" s="861"/>
      <c r="H23" s="943" t="s">
        <v>408</v>
      </c>
      <c r="I23" s="943"/>
      <c r="J23" s="943" t="s">
        <v>408</v>
      </c>
      <c r="K23" s="944"/>
    </row>
    <row r="24" spans="1:12" ht="24.95" customHeight="1">
      <c r="A24" s="1021"/>
      <c r="B24" s="943"/>
      <c r="C24" s="943"/>
      <c r="D24" s="943"/>
      <c r="E24" s="943"/>
      <c r="F24" s="416" t="s">
        <v>642</v>
      </c>
      <c r="G24" s="461" t="s">
        <v>643</v>
      </c>
      <c r="H24" s="415" t="s">
        <v>644</v>
      </c>
      <c r="I24" s="462" t="s">
        <v>643</v>
      </c>
      <c r="J24" s="416" t="s">
        <v>642</v>
      </c>
      <c r="K24" s="152" t="s">
        <v>643</v>
      </c>
      <c r="L24" s="428"/>
    </row>
    <row r="25" spans="1:12" ht="30" customHeight="1">
      <c r="A25" s="587" t="s">
        <v>400</v>
      </c>
      <c r="B25" s="95">
        <v>40858</v>
      </c>
      <c r="C25" s="95">
        <v>43961</v>
      </c>
      <c r="D25" s="95">
        <v>108667</v>
      </c>
      <c r="E25" s="95">
        <v>111931</v>
      </c>
      <c r="F25" s="96">
        <v>2.74</v>
      </c>
      <c r="G25" s="96">
        <f t="shared" ref="G25:G32" si="1">E25/C25</f>
        <v>2.5461431723573167</v>
      </c>
      <c r="H25" s="278" t="s">
        <v>143</v>
      </c>
      <c r="I25" s="278" t="s">
        <v>143</v>
      </c>
      <c r="J25" s="278" t="s">
        <v>143</v>
      </c>
      <c r="K25" s="279" t="s">
        <v>143</v>
      </c>
      <c r="L25" s="428"/>
    </row>
    <row r="26" spans="1:12" ht="30" customHeight="1">
      <c r="A26" s="588" t="s">
        <v>558</v>
      </c>
      <c r="B26" s="12">
        <v>40694</v>
      </c>
      <c r="C26" s="12">
        <v>43763</v>
      </c>
      <c r="D26" s="12">
        <v>108370</v>
      </c>
      <c r="E26" s="12">
        <v>111446</v>
      </c>
      <c r="F26" s="427">
        <v>2.74</v>
      </c>
      <c r="G26" s="427">
        <f t="shared" si="1"/>
        <v>2.5465804446678701</v>
      </c>
      <c r="H26" s="563" t="s">
        <v>143</v>
      </c>
      <c r="I26" s="425" t="s">
        <v>143</v>
      </c>
      <c r="J26" s="563" t="s">
        <v>143</v>
      </c>
      <c r="K26" s="423" t="s">
        <v>143</v>
      </c>
      <c r="L26" s="428"/>
    </row>
    <row r="27" spans="1:12" ht="30" customHeight="1">
      <c r="A27" s="589" t="s">
        <v>409</v>
      </c>
      <c r="B27" s="12">
        <v>16933</v>
      </c>
      <c r="C27" s="12">
        <v>18531</v>
      </c>
      <c r="D27" s="12">
        <v>49996</v>
      </c>
      <c r="E27" s="12">
        <v>51931</v>
      </c>
      <c r="F27" s="427">
        <v>3</v>
      </c>
      <c r="G27" s="427">
        <f t="shared" si="1"/>
        <v>2.8023851923803358</v>
      </c>
      <c r="H27" s="563" t="s">
        <v>143</v>
      </c>
      <c r="I27" s="425" t="s">
        <v>143</v>
      </c>
      <c r="J27" s="563" t="s">
        <v>143</v>
      </c>
      <c r="K27" s="423" t="s">
        <v>143</v>
      </c>
      <c r="L27" s="428"/>
    </row>
    <row r="28" spans="1:12" ht="30" customHeight="1">
      <c r="A28" s="589" t="s">
        <v>410</v>
      </c>
      <c r="B28" s="12">
        <v>1452</v>
      </c>
      <c r="C28" s="12">
        <v>1352</v>
      </c>
      <c r="D28" s="12">
        <v>4309</v>
      </c>
      <c r="E28" s="12">
        <v>3573</v>
      </c>
      <c r="F28" s="427">
        <v>3</v>
      </c>
      <c r="G28" s="427">
        <f t="shared" si="1"/>
        <v>2.6427514792899407</v>
      </c>
      <c r="H28" s="563" t="s">
        <v>143</v>
      </c>
      <c r="I28" s="425" t="s">
        <v>143</v>
      </c>
      <c r="J28" s="563" t="s">
        <v>143</v>
      </c>
      <c r="K28" s="423" t="s">
        <v>143</v>
      </c>
      <c r="L28" s="428"/>
    </row>
    <row r="29" spans="1:12" ht="30" customHeight="1">
      <c r="A29" s="589" t="s">
        <v>411</v>
      </c>
      <c r="B29" s="12">
        <v>20484</v>
      </c>
      <c r="C29" s="12">
        <v>22415</v>
      </c>
      <c r="D29" s="12">
        <v>49374</v>
      </c>
      <c r="E29" s="12">
        <v>52494</v>
      </c>
      <c r="F29" s="427">
        <v>2.4</v>
      </c>
      <c r="G29" s="427">
        <f t="shared" si="1"/>
        <v>2.3419138969440105</v>
      </c>
      <c r="H29" s="563" t="s">
        <v>143</v>
      </c>
      <c r="I29" s="425" t="s">
        <v>143</v>
      </c>
      <c r="J29" s="563" t="s">
        <v>143</v>
      </c>
      <c r="K29" s="423" t="s">
        <v>143</v>
      </c>
      <c r="L29" s="428"/>
    </row>
    <row r="30" spans="1:12" ht="30" customHeight="1">
      <c r="A30" s="589" t="s">
        <v>412</v>
      </c>
      <c r="B30" s="12">
        <v>1004</v>
      </c>
      <c r="C30" s="12">
        <v>714</v>
      </c>
      <c r="D30" s="12">
        <v>2497</v>
      </c>
      <c r="E30" s="12">
        <v>1605</v>
      </c>
      <c r="F30" s="427">
        <v>2.5</v>
      </c>
      <c r="G30" s="427">
        <f t="shared" si="1"/>
        <v>2.2478991596638656</v>
      </c>
      <c r="H30" s="563" t="s">
        <v>143</v>
      </c>
      <c r="I30" s="425" t="s">
        <v>143</v>
      </c>
      <c r="J30" s="563" t="s">
        <v>143</v>
      </c>
      <c r="K30" s="423" t="s">
        <v>143</v>
      </c>
      <c r="L30" s="428"/>
    </row>
    <row r="31" spans="1:12" ht="30" customHeight="1">
      <c r="A31" s="589" t="s">
        <v>413</v>
      </c>
      <c r="B31" s="12">
        <v>821</v>
      </c>
      <c r="C31" s="12">
        <v>751</v>
      </c>
      <c r="D31" s="12">
        <v>2194</v>
      </c>
      <c r="E31" s="12">
        <v>1843</v>
      </c>
      <c r="F31" s="427">
        <v>2.7</v>
      </c>
      <c r="G31" s="427">
        <f t="shared" si="1"/>
        <v>2.4540612516644473</v>
      </c>
      <c r="H31" s="563" t="s">
        <v>143</v>
      </c>
      <c r="I31" s="425" t="s">
        <v>143</v>
      </c>
      <c r="J31" s="563" t="s">
        <v>143</v>
      </c>
      <c r="K31" s="423" t="s">
        <v>143</v>
      </c>
      <c r="L31" s="428"/>
    </row>
    <row r="32" spans="1:12" ht="15" customHeight="1">
      <c r="A32" s="590" t="s">
        <v>475</v>
      </c>
      <c r="B32" s="938">
        <v>164</v>
      </c>
      <c r="C32" s="938">
        <v>198</v>
      </c>
      <c r="D32" s="938">
        <v>297</v>
      </c>
      <c r="E32" s="938">
        <v>485</v>
      </c>
      <c r="F32" s="1027">
        <v>1.8</v>
      </c>
      <c r="G32" s="1027">
        <f t="shared" si="1"/>
        <v>2.4494949494949494</v>
      </c>
      <c r="H32" s="1025" t="s">
        <v>143</v>
      </c>
      <c r="I32" s="1025" t="s">
        <v>143</v>
      </c>
      <c r="J32" s="1025" t="s">
        <v>143</v>
      </c>
      <c r="K32" s="1023" t="s">
        <v>143</v>
      </c>
      <c r="L32" s="428"/>
    </row>
    <row r="33" spans="1:12" ht="15" customHeight="1" thickBot="1">
      <c r="A33" s="591" t="s">
        <v>539</v>
      </c>
      <c r="B33" s="1029"/>
      <c r="C33" s="1029"/>
      <c r="D33" s="1029"/>
      <c r="E33" s="1029"/>
      <c r="F33" s="1028"/>
      <c r="G33" s="1028"/>
      <c r="H33" s="1026"/>
      <c r="I33" s="1026"/>
      <c r="J33" s="1026"/>
      <c r="K33" s="1024"/>
      <c r="L33" s="428"/>
    </row>
    <row r="34" spans="1:12" ht="15" customHeight="1">
      <c r="A34" s="5" t="s">
        <v>560</v>
      </c>
      <c r="K34" s="7" t="s">
        <v>634</v>
      </c>
    </row>
    <row r="35" spans="1:12" ht="15" customHeight="1">
      <c r="A35" s="5" t="s">
        <v>559</v>
      </c>
    </row>
    <row r="36" spans="1:12" s="246" customFormat="1" ht="15" customHeight="1">
      <c r="A36" s="1022" t="s">
        <v>524</v>
      </c>
      <c r="B36" s="1022"/>
      <c r="C36" s="1022"/>
      <c r="D36" s="1022"/>
      <c r="E36" s="1022"/>
      <c r="F36" s="1022"/>
      <c r="G36" s="1022"/>
      <c r="H36" s="1022"/>
      <c r="I36" s="1022"/>
      <c r="J36" s="1022"/>
      <c r="K36" s="1022"/>
    </row>
    <row r="37" spans="1:12" s="246" customFormat="1" ht="13.5" customHeight="1">
      <c r="A37" s="246" t="s">
        <v>645</v>
      </c>
    </row>
    <row r="65529" ht="18.95" customHeight="1"/>
  </sheetData>
  <sheetProtection sheet="1" objects="1" scenarios="1" selectLockedCells="1" selectUnlockedCells="1"/>
  <mergeCells count="39">
    <mergeCell ref="A36:K36"/>
    <mergeCell ref="K32:K33"/>
    <mergeCell ref="J32:J33"/>
    <mergeCell ref="I32:I33"/>
    <mergeCell ref="H32:H33"/>
    <mergeCell ref="G32:G33"/>
    <mergeCell ref="F32:F33"/>
    <mergeCell ref="D32:D33"/>
    <mergeCell ref="E32:E33"/>
    <mergeCell ref="C32:C33"/>
    <mergeCell ref="B32:B33"/>
    <mergeCell ref="J23:K23"/>
    <mergeCell ref="B23:B24"/>
    <mergeCell ref="C23:C24"/>
    <mergeCell ref="F23:G23"/>
    <mergeCell ref="H23:I23"/>
    <mergeCell ref="E23:E24"/>
    <mergeCell ref="D23:D24"/>
    <mergeCell ref="J22:K22"/>
    <mergeCell ref="D22:E22"/>
    <mergeCell ref="K3:K4"/>
    <mergeCell ref="B22:C22"/>
    <mergeCell ref="A13:B13"/>
    <mergeCell ref="A8:B8"/>
    <mergeCell ref="A14:B14"/>
    <mergeCell ref="C3:H4"/>
    <mergeCell ref="F22:I22"/>
    <mergeCell ref="A3:B5"/>
    <mergeCell ref="A22:A24"/>
    <mergeCell ref="A9:B9"/>
    <mergeCell ref="A10:B10"/>
    <mergeCell ref="A17:B17"/>
    <mergeCell ref="A11:B11"/>
    <mergeCell ref="A15:B15"/>
    <mergeCell ref="A6:A7"/>
    <mergeCell ref="A19:H19"/>
    <mergeCell ref="A18:B18"/>
    <mergeCell ref="A16:B16"/>
    <mergeCell ref="A12:B12"/>
  </mergeCells>
  <phoneticPr fontId="17"/>
  <printOptions horizontalCentered="1"/>
  <pageMargins left="0.59055118110236227" right="0.59055118110236227" top="0.59055118110236227" bottom="0.59055118110236227" header="0.39370078740157483" footer="0.39370078740157483"/>
  <pageSetup paperSize="9" scale="97" firstPageNumber="0" orientation="portrait" verticalDpi="300" r:id="rId1"/>
  <headerFooter scaleWithDoc="0" alignWithMargins="0">
    <oddHeader>&amp;L&amp;"ＭＳ 明朝,標準"&amp;10人　口</oddHeader>
    <oddFooter>&amp;C&amp;"ＭＳ 明朝,標準"&amp;12&amp;A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95"/>
  <sheetViews>
    <sheetView view="pageBreakPreview" topLeftCell="A17" zoomScaleNormal="100" zoomScaleSheetLayoutView="100" workbookViewId="0">
      <selection activeCell="G40" sqref="G40"/>
    </sheetView>
  </sheetViews>
  <sheetFormatPr defaultRowHeight="13.5"/>
  <cols>
    <col min="1" max="6" width="15.375" style="303" customWidth="1"/>
    <col min="7" max="8" width="13.625" style="303" customWidth="1"/>
    <col min="9" max="9" width="14.375" style="303" customWidth="1"/>
    <col min="10" max="10" width="15.125" style="303" bestFit="1" customWidth="1"/>
    <col min="11" max="11" width="10.5" style="303" bestFit="1" customWidth="1"/>
    <col min="12" max="12" width="10.625" style="303" customWidth="1"/>
    <col min="13" max="16384" width="9" style="303"/>
  </cols>
  <sheetData>
    <row r="1" spans="1:15" ht="17.25">
      <c r="A1" s="301" t="s">
        <v>690</v>
      </c>
      <c r="B1" s="302"/>
      <c r="C1" s="302"/>
      <c r="D1" s="302"/>
      <c r="E1" s="302"/>
      <c r="F1" s="302"/>
      <c r="H1" s="616" t="s">
        <v>704</v>
      </c>
    </row>
    <row r="2" spans="1:15" ht="14.25">
      <c r="A2" s="304"/>
      <c r="I2" s="330" t="s">
        <v>691</v>
      </c>
    </row>
    <row r="3" spans="1:15" ht="14.25">
      <c r="A3" s="304"/>
      <c r="H3" s="321" t="s">
        <v>689</v>
      </c>
      <c r="I3" s="389">
        <v>53971</v>
      </c>
      <c r="J3" s="389">
        <v>56135</v>
      </c>
      <c r="K3" s="390">
        <f>M3/L3*100</f>
        <v>0.62576063066499554</v>
      </c>
      <c r="L3" s="389">
        <f>I3+J3</f>
        <v>110106</v>
      </c>
      <c r="M3" s="389">
        <v>689</v>
      </c>
    </row>
    <row r="4" spans="1:15">
      <c r="A4" s="305"/>
      <c r="H4" s="322"/>
      <c r="I4" s="307" t="s">
        <v>476</v>
      </c>
      <c r="J4" s="307" t="s">
        <v>477</v>
      </c>
      <c r="K4" s="307" t="s">
        <v>478</v>
      </c>
      <c r="L4" s="388" t="s">
        <v>529</v>
      </c>
      <c r="M4" s="388" t="s">
        <v>530</v>
      </c>
    </row>
    <row r="5" spans="1:15">
      <c r="A5" s="305" t="s">
        <v>0</v>
      </c>
      <c r="D5" s="305" t="s">
        <v>1</v>
      </c>
      <c r="H5" s="323" t="str">
        <f>'-39-'!A6</f>
        <v>平成21年</v>
      </c>
      <c r="I5" s="308">
        <f>'-39-'!D6</f>
        <v>54426</v>
      </c>
      <c r="J5" s="308">
        <f>'-39-'!E6</f>
        <v>56563</v>
      </c>
      <c r="K5" s="393">
        <f>M5/L5*100</f>
        <v>0.7955743361954789</v>
      </c>
      <c r="L5" s="391">
        <f t="shared" ref="L5:L14" si="0">I5+J5</f>
        <v>110989</v>
      </c>
      <c r="M5" s="387">
        <f>L5-L3</f>
        <v>883</v>
      </c>
    </row>
    <row r="6" spans="1:15">
      <c r="A6" s="305"/>
      <c r="D6" s="305"/>
      <c r="H6" s="323">
        <f>'-39-'!A7</f>
        <v>22</v>
      </c>
      <c r="I6" s="308">
        <f>'-39-'!D7</f>
        <v>54612</v>
      </c>
      <c r="J6" s="308">
        <f>'-39-'!E7</f>
        <v>56983</v>
      </c>
      <c r="K6" s="393">
        <f t="shared" ref="K6:K14" si="1">M6/L6*100</f>
        <v>0.54303508221694519</v>
      </c>
      <c r="L6" s="387">
        <f t="shared" si="0"/>
        <v>111595</v>
      </c>
      <c r="M6" s="392">
        <f t="shared" ref="M6:M14" si="2">L6-L5</f>
        <v>606</v>
      </c>
    </row>
    <row r="7" spans="1:15">
      <c r="B7" s="309" t="s">
        <v>479</v>
      </c>
      <c r="E7" s="310"/>
      <c r="H7" s="323">
        <f>'-39-'!A8</f>
        <v>23</v>
      </c>
      <c r="I7" s="308">
        <f>'-39-'!D8</f>
        <v>54927</v>
      </c>
      <c r="J7" s="308">
        <f>'-39-'!E8</f>
        <v>57350</v>
      </c>
      <c r="K7" s="393">
        <f t="shared" si="1"/>
        <v>0.60742627608503974</v>
      </c>
      <c r="L7" s="387">
        <f t="shared" si="0"/>
        <v>112277</v>
      </c>
      <c r="M7" s="392">
        <f t="shared" si="2"/>
        <v>682</v>
      </c>
    </row>
    <row r="8" spans="1:15">
      <c r="H8" s="323">
        <f>'-39-'!A9</f>
        <v>24</v>
      </c>
      <c r="I8" s="308">
        <f>'-39-'!D9</f>
        <v>55780</v>
      </c>
      <c r="J8" s="308">
        <f>'-39-'!E9</f>
        <v>57965</v>
      </c>
      <c r="K8" s="393">
        <f t="shared" si="1"/>
        <v>1.2906061804914502</v>
      </c>
      <c r="L8" s="387">
        <f t="shared" si="0"/>
        <v>113745</v>
      </c>
      <c r="M8" s="392">
        <f t="shared" si="2"/>
        <v>1468</v>
      </c>
    </row>
    <row r="9" spans="1:15">
      <c r="H9" s="323">
        <f>'-39-'!A10</f>
        <v>25</v>
      </c>
      <c r="I9" s="308">
        <f>'-39-'!D10</f>
        <v>55949</v>
      </c>
      <c r="J9" s="308">
        <f>'-39-'!E10</f>
        <v>58268</v>
      </c>
      <c r="K9" s="393">
        <f t="shared" si="1"/>
        <v>0.41324846563996598</v>
      </c>
      <c r="L9" s="387">
        <f t="shared" si="0"/>
        <v>114217</v>
      </c>
      <c r="M9" s="392">
        <f t="shared" si="2"/>
        <v>472</v>
      </c>
    </row>
    <row r="10" spans="1:15">
      <c r="H10" s="323">
        <f>'-39-'!A11</f>
        <v>26</v>
      </c>
      <c r="I10" s="308">
        <f>'-39-'!D11</f>
        <v>55850</v>
      </c>
      <c r="J10" s="308">
        <f>'-39-'!E11</f>
        <v>58395</v>
      </c>
      <c r="K10" s="393">
        <f t="shared" si="1"/>
        <v>2.4508731235502644E-2</v>
      </c>
      <c r="L10" s="387">
        <f t="shared" si="0"/>
        <v>114245</v>
      </c>
      <c r="M10" s="392">
        <f t="shared" si="2"/>
        <v>28</v>
      </c>
    </row>
    <row r="11" spans="1:15">
      <c r="H11" s="323">
        <f>'-39-'!A12</f>
        <v>27</v>
      </c>
      <c r="I11" s="308">
        <f>'-39-'!D12</f>
        <v>55729</v>
      </c>
      <c r="J11" s="308">
        <f>'-39-'!E12</f>
        <v>58436</v>
      </c>
      <c r="K11" s="393">
        <f t="shared" si="1"/>
        <v>-7.0074015679061005E-2</v>
      </c>
      <c r="L11" s="387">
        <f t="shared" si="0"/>
        <v>114165</v>
      </c>
      <c r="M11" s="392">
        <f t="shared" si="2"/>
        <v>-80</v>
      </c>
    </row>
    <row r="12" spans="1:15">
      <c r="H12" s="323">
        <f>'-39-'!A13</f>
        <v>28</v>
      </c>
      <c r="I12" s="308">
        <f>'-39-'!D13</f>
        <v>55787</v>
      </c>
      <c r="J12" s="308">
        <f>'-39-'!E13</f>
        <v>58550</v>
      </c>
      <c r="K12" s="393">
        <f t="shared" si="1"/>
        <v>0.15043249341857842</v>
      </c>
      <c r="L12" s="387">
        <f t="shared" si="0"/>
        <v>114337</v>
      </c>
      <c r="M12" s="392">
        <f t="shared" si="2"/>
        <v>172</v>
      </c>
    </row>
    <row r="13" spans="1:15">
      <c r="H13" s="323">
        <f>'-39-'!A14</f>
        <v>29</v>
      </c>
      <c r="I13" s="308">
        <f>'-39-'!D14</f>
        <v>55782</v>
      </c>
      <c r="J13" s="308">
        <f>'-39-'!E14</f>
        <v>58590</v>
      </c>
      <c r="K13" s="393">
        <f t="shared" si="1"/>
        <v>3.060189556884552E-2</v>
      </c>
      <c r="L13" s="387">
        <f t="shared" si="0"/>
        <v>114372</v>
      </c>
      <c r="M13" s="392">
        <f t="shared" si="2"/>
        <v>35</v>
      </c>
    </row>
    <row r="14" spans="1:15">
      <c r="H14" s="323">
        <f>'-39-'!A15</f>
        <v>30</v>
      </c>
      <c r="I14" s="308">
        <f>'-39-'!D15</f>
        <v>55824</v>
      </c>
      <c r="J14" s="308">
        <f>'-39-'!E15</f>
        <v>58707</v>
      </c>
      <c r="K14" s="393">
        <f t="shared" si="1"/>
        <v>0.13882704246011998</v>
      </c>
      <c r="L14" s="387">
        <f t="shared" si="0"/>
        <v>114531</v>
      </c>
      <c r="M14" s="392">
        <f t="shared" si="2"/>
        <v>159</v>
      </c>
    </row>
    <row r="15" spans="1:15">
      <c r="H15" s="616" t="s">
        <v>704</v>
      </c>
    </row>
    <row r="16" spans="1:15">
      <c r="H16" s="321" t="s">
        <v>688</v>
      </c>
      <c r="K16" s="311"/>
      <c r="L16" s="311"/>
      <c r="M16" s="311"/>
      <c r="N16" s="311"/>
      <c r="O16" s="311"/>
    </row>
    <row r="17" spans="8:15">
      <c r="H17" s="312" t="s">
        <v>480</v>
      </c>
      <c r="I17" s="308">
        <f>‐44‐!L6</f>
        <v>112</v>
      </c>
      <c r="J17" s="1030"/>
      <c r="K17" s="1030"/>
      <c r="L17" s="313"/>
      <c r="M17" s="311"/>
    </row>
    <row r="18" spans="8:15">
      <c r="H18" s="312" t="s">
        <v>481</v>
      </c>
      <c r="I18" s="308">
        <f>‐44‐!L7</f>
        <v>98</v>
      </c>
      <c r="J18" s="1030"/>
      <c r="K18" s="1030"/>
      <c r="L18" s="313"/>
      <c r="M18" s="311"/>
    </row>
    <row r="19" spans="8:15">
      <c r="H19" s="312" t="s">
        <v>531</v>
      </c>
      <c r="I19" s="308">
        <f>‐44‐!L8</f>
        <v>69</v>
      </c>
      <c r="J19" s="1030"/>
      <c r="K19" s="1030"/>
      <c r="L19" s="313"/>
      <c r="M19" s="311"/>
    </row>
    <row r="20" spans="8:15">
      <c r="H20" s="312" t="s">
        <v>482</v>
      </c>
      <c r="I20" s="308">
        <f>‐44‐!L9</f>
        <v>72</v>
      </c>
      <c r="J20" s="1030"/>
      <c r="K20" s="1030"/>
      <c r="L20" s="313"/>
      <c r="M20" s="311"/>
    </row>
    <row r="21" spans="8:15">
      <c r="H21" s="312" t="s">
        <v>414</v>
      </c>
      <c r="I21" s="308">
        <f>‐44‐!L10</f>
        <v>472</v>
      </c>
      <c r="J21" s="1030"/>
      <c r="K21" s="1030"/>
      <c r="L21" s="313"/>
      <c r="M21" s="311"/>
    </row>
    <row r="22" spans="8:15">
      <c r="H22" s="312" t="s">
        <v>483</v>
      </c>
      <c r="I22" s="308">
        <f>‐44‐!L11</f>
        <v>111</v>
      </c>
      <c r="J22" s="1030"/>
      <c r="K22" s="1030"/>
      <c r="L22" s="313"/>
      <c r="M22" s="311"/>
    </row>
    <row r="23" spans="8:15">
      <c r="H23" s="312" t="s">
        <v>484</v>
      </c>
      <c r="I23" s="308">
        <f>‐44‐!L12</f>
        <v>10</v>
      </c>
      <c r="J23" s="1030"/>
      <c r="K23" s="1030"/>
      <c r="L23" s="313"/>
      <c r="M23" s="311"/>
    </row>
    <row r="24" spans="8:15">
      <c r="H24" s="312" t="s">
        <v>485</v>
      </c>
      <c r="I24" s="308">
        <f>‐44‐!L13</f>
        <v>6</v>
      </c>
      <c r="J24" s="1030"/>
      <c r="K24" s="1030"/>
      <c r="L24" s="313"/>
      <c r="M24" s="311"/>
    </row>
    <row r="25" spans="8:15">
      <c r="H25" s="312" t="s">
        <v>486</v>
      </c>
      <c r="I25" s="308">
        <f>‐44‐!L14</f>
        <v>8</v>
      </c>
      <c r="J25" s="1030"/>
      <c r="K25" s="1030"/>
      <c r="L25" s="313"/>
      <c r="M25" s="311"/>
    </row>
    <row r="26" spans="8:15">
      <c r="H26" s="312" t="s">
        <v>487</v>
      </c>
      <c r="I26" s="308">
        <f>‐44‐!L15</f>
        <v>6</v>
      </c>
      <c r="J26" s="1030"/>
      <c r="K26" s="1030"/>
      <c r="L26" s="313"/>
      <c r="M26" s="311"/>
    </row>
    <row r="27" spans="8:15">
      <c r="H27" s="312" t="s">
        <v>488</v>
      </c>
      <c r="I27" s="308">
        <f>‐44‐!L16</f>
        <v>10</v>
      </c>
      <c r="J27" s="1030"/>
      <c r="K27" s="1030"/>
      <c r="L27" s="313"/>
      <c r="M27" s="311"/>
    </row>
    <row r="28" spans="8:15">
      <c r="H28" s="312" t="s">
        <v>489</v>
      </c>
      <c r="I28" s="308" t="str">
        <f>‐44‐!L17</f>
        <v>-</v>
      </c>
      <c r="J28" s="1030"/>
      <c r="K28" s="1030"/>
      <c r="L28" s="313"/>
      <c r="M28" s="311"/>
    </row>
    <row r="29" spans="8:15">
      <c r="H29" s="312" t="s">
        <v>490</v>
      </c>
      <c r="I29" s="308">
        <f>‐44‐!L18</f>
        <v>9</v>
      </c>
      <c r="J29" s="1030"/>
      <c r="K29" s="1030"/>
      <c r="L29" s="313"/>
      <c r="M29" s="311"/>
    </row>
    <row r="30" spans="8:15">
      <c r="H30" s="312" t="s">
        <v>491</v>
      </c>
      <c r="I30" s="308">
        <f>‐44‐!L19</f>
        <v>119</v>
      </c>
      <c r="J30" s="311"/>
      <c r="K30" s="311"/>
      <c r="L30" s="311"/>
      <c r="M30" s="311"/>
    </row>
    <row r="31" spans="8:15">
      <c r="K31" s="311"/>
      <c r="L31" s="311"/>
      <c r="M31" s="311"/>
      <c r="N31" s="311"/>
      <c r="O31" s="311"/>
    </row>
    <row r="32" spans="8:15">
      <c r="H32" s="303" t="s">
        <v>658</v>
      </c>
      <c r="I32" s="598">
        <f>SUM(I17:I31)</f>
        <v>1102</v>
      </c>
      <c r="K32" s="311"/>
    </row>
    <row r="34" spans="1:10">
      <c r="H34" s="616" t="s">
        <v>671</v>
      </c>
    </row>
    <row r="35" spans="1:10">
      <c r="H35" s="321" t="s">
        <v>687</v>
      </c>
      <c r="I35" s="324"/>
    </row>
    <row r="36" spans="1:10">
      <c r="A36" s="305" t="s">
        <v>492</v>
      </c>
      <c r="D36" s="314"/>
      <c r="H36" s="325" t="s">
        <v>493</v>
      </c>
      <c r="I36" s="325"/>
    </row>
    <row r="37" spans="1:10">
      <c r="H37" s="322" t="s">
        <v>476</v>
      </c>
      <c r="I37" s="322"/>
    </row>
    <row r="38" spans="1:10">
      <c r="H38" s="322" t="s">
        <v>494</v>
      </c>
      <c r="I38" s="394">
        <f>‐41‐!O38</f>
        <v>10268</v>
      </c>
      <c r="J38" s="730">
        <f>I38/$I$41</f>
        <v>0.18393522499283463</v>
      </c>
    </row>
    <row r="39" spans="1:10">
      <c r="H39" s="322" t="s">
        <v>495</v>
      </c>
      <c r="I39" s="394">
        <f>‐41‐!O39</f>
        <v>35916</v>
      </c>
      <c r="J39" s="730">
        <f t="shared" ref="J39:J41" si="3">I39/$I$41</f>
        <v>0.64337919174548586</v>
      </c>
    </row>
    <row r="40" spans="1:10">
      <c r="H40" s="322" t="s">
        <v>496</v>
      </c>
      <c r="I40" s="394">
        <f>‐41‐!O40</f>
        <v>9640</v>
      </c>
      <c r="J40" s="730">
        <f t="shared" si="3"/>
        <v>0.17268558326167957</v>
      </c>
    </row>
    <row r="41" spans="1:10">
      <c r="H41" s="429" t="s">
        <v>529</v>
      </c>
      <c r="I41" s="430">
        <f>SUM(I38:I40)</f>
        <v>55824</v>
      </c>
      <c r="J41" s="730">
        <f t="shared" si="3"/>
        <v>1</v>
      </c>
    </row>
    <row r="42" spans="1:10">
      <c r="H42" s="324"/>
      <c r="I42" s="324"/>
      <c r="J42" s="316"/>
    </row>
    <row r="43" spans="1:10">
      <c r="H43" s="322" t="s">
        <v>477</v>
      </c>
      <c r="I43" s="322"/>
    </row>
    <row r="44" spans="1:10">
      <c r="H44" s="322" t="s">
        <v>494</v>
      </c>
      <c r="I44" s="394">
        <f>‐41‐!P38</f>
        <v>9879</v>
      </c>
      <c r="J44" s="730">
        <f>I44/$I$47</f>
        <v>0.16827635546016659</v>
      </c>
    </row>
    <row r="45" spans="1:10">
      <c r="H45" s="322" t="s">
        <v>495</v>
      </c>
      <c r="I45" s="394">
        <f>‐41‐!P39</f>
        <v>36690</v>
      </c>
      <c r="J45" s="730">
        <f t="shared" ref="J45:J47" si="4">I45/$I$47</f>
        <v>0.62496806173028774</v>
      </c>
    </row>
    <row r="46" spans="1:10">
      <c r="H46" s="322" t="s">
        <v>496</v>
      </c>
      <c r="I46" s="394">
        <f>‐41‐!P40</f>
        <v>12138</v>
      </c>
      <c r="J46" s="730">
        <f t="shared" si="4"/>
        <v>0.2067555828095457</v>
      </c>
    </row>
    <row r="47" spans="1:10">
      <c r="H47" s="429" t="s">
        <v>529</v>
      </c>
      <c r="I47" s="430">
        <f>SUM(I44:I46)</f>
        <v>58707</v>
      </c>
      <c r="J47" s="730">
        <f t="shared" si="4"/>
        <v>1</v>
      </c>
    </row>
    <row r="64" spans="1:1">
      <c r="A64" s="305" t="s">
        <v>497</v>
      </c>
    </row>
    <row r="65" spans="1:11">
      <c r="A65" s="305"/>
    </row>
    <row r="78" spans="1:11">
      <c r="H78" s="616" t="s">
        <v>671</v>
      </c>
    </row>
    <row r="79" spans="1:11">
      <c r="H79" s="321" t="s">
        <v>686</v>
      </c>
    </row>
    <row r="80" spans="1:11">
      <c r="H80" s="322"/>
      <c r="I80" s="322" t="s">
        <v>498</v>
      </c>
      <c r="J80" s="322" t="s">
        <v>499</v>
      </c>
      <c r="K80" s="322" t="s">
        <v>500</v>
      </c>
    </row>
    <row r="81" spans="1:12">
      <c r="H81" s="331" t="s">
        <v>691</v>
      </c>
      <c r="I81" s="328">
        <f t="shared" ref="I81:I90" si="5">J81+K81</f>
        <v>689</v>
      </c>
      <c r="J81" s="328">
        <f t="shared" ref="J81:J90" si="6">I94-J94</f>
        <v>957</v>
      </c>
      <c r="K81" s="328">
        <f t="shared" ref="K81:K90" si="7">K94-L94</f>
        <v>-268</v>
      </c>
    </row>
    <row r="82" spans="1:12">
      <c r="H82" s="331">
        <v>21</v>
      </c>
      <c r="I82" s="328">
        <f t="shared" si="5"/>
        <v>883</v>
      </c>
      <c r="J82" s="328">
        <f t="shared" si="6"/>
        <v>967</v>
      </c>
      <c r="K82" s="328">
        <f t="shared" si="7"/>
        <v>-84</v>
      </c>
      <c r="L82" s="98"/>
    </row>
    <row r="83" spans="1:12">
      <c r="H83" s="331">
        <v>22</v>
      </c>
      <c r="I83" s="328">
        <f t="shared" si="5"/>
        <v>657</v>
      </c>
      <c r="J83" s="328">
        <f t="shared" si="6"/>
        <v>853</v>
      </c>
      <c r="K83" s="328">
        <f t="shared" si="7"/>
        <v>-196</v>
      </c>
    </row>
    <row r="84" spans="1:12">
      <c r="H84" s="331">
        <v>23</v>
      </c>
      <c r="I84" s="328">
        <f t="shared" si="5"/>
        <v>727</v>
      </c>
      <c r="J84" s="328">
        <f t="shared" si="6"/>
        <v>859</v>
      </c>
      <c r="K84" s="328">
        <f t="shared" si="7"/>
        <v>-132</v>
      </c>
    </row>
    <row r="85" spans="1:12">
      <c r="H85" s="331">
        <v>24</v>
      </c>
      <c r="I85" s="328">
        <f t="shared" si="5"/>
        <v>1573</v>
      </c>
      <c r="J85" s="328">
        <f t="shared" si="6"/>
        <v>899</v>
      </c>
      <c r="K85" s="328">
        <f t="shared" si="7"/>
        <v>674</v>
      </c>
    </row>
    <row r="86" spans="1:12">
      <c r="H86" s="331">
        <v>25</v>
      </c>
      <c r="I86" s="328">
        <f t="shared" si="5"/>
        <v>494</v>
      </c>
      <c r="J86" s="328">
        <f t="shared" si="6"/>
        <v>812</v>
      </c>
      <c r="K86" s="328">
        <f t="shared" si="7"/>
        <v>-318</v>
      </c>
    </row>
    <row r="87" spans="1:12">
      <c r="H87" s="331">
        <v>26</v>
      </c>
      <c r="I87" s="328">
        <f t="shared" si="5"/>
        <v>28</v>
      </c>
      <c r="J87" s="328">
        <f t="shared" si="6"/>
        <v>720</v>
      </c>
      <c r="K87" s="328">
        <f t="shared" si="7"/>
        <v>-692</v>
      </c>
    </row>
    <row r="88" spans="1:12">
      <c r="H88" s="331">
        <v>27</v>
      </c>
      <c r="I88" s="328">
        <f t="shared" si="5"/>
        <v>-80</v>
      </c>
      <c r="J88" s="328">
        <f t="shared" si="6"/>
        <v>746</v>
      </c>
      <c r="K88" s="328">
        <f t="shared" si="7"/>
        <v>-826</v>
      </c>
    </row>
    <row r="89" spans="1:12">
      <c r="H89" s="331">
        <v>28</v>
      </c>
      <c r="I89" s="328">
        <f t="shared" si="5"/>
        <v>152</v>
      </c>
      <c r="J89" s="328">
        <f t="shared" si="6"/>
        <v>620</v>
      </c>
      <c r="K89" s="328">
        <f t="shared" si="7"/>
        <v>-468</v>
      </c>
    </row>
    <row r="90" spans="1:12">
      <c r="H90" s="331">
        <v>29</v>
      </c>
      <c r="I90" s="328">
        <f t="shared" si="5"/>
        <v>35</v>
      </c>
      <c r="J90" s="328">
        <f t="shared" si="6"/>
        <v>554</v>
      </c>
      <c r="K90" s="328">
        <f t="shared" si="7"/>
        <v>-519</v>
      </c>
    </row>
    <row r="91" spans="1:12">
      <c r="H91" s="331" t="s">
        <v>692</v>
      </c>
      <c r="I91" s="328">
        <f t="shared" ref="I91" si="8">J91+K91</f>
        <v>159</v>
      </c>
      <c r="J91" s="328">
        <f t="shared" ref="J91" si="9">I104-J104</f>
        <v>513</v>
      </c>
      <c r="K91" s="328">
        <f t="shared" ref="K91" si="10">K104-L104</f>
        <v>-354</v>
      </c>
    </row>
    <row r="92" spans="1:12">
      <c r="H92" s="321" t="s">
        <v>6</v>
      </c>
      <c r="I92" s="616" t="s">
        <v>671</v>
      </c>
    </row>
    <row r="93" spans="1:12">
      <c r="A93" s="305" t="s">
        <v>501</v>
      </c>
      <c r="H93" s="315"/>
      <c r="I93" s="315" t="s">
        <v>502</v>
      </c>
      <c r="J93" s="315" t="s">
        <v>503</v>
      </c>
      <c r="K93" s="315" t="s">
        <v>504</v>
      </c>
      <c r="L93" s="315" t="s">
        <v>505</v>
      </c>
    </row>
    <row r="94" spans="1:12">
      <c r="H94" s="329" t="s">
        <v>691</v>
      </c>
      <c r="I94" s="308">
        <f>‐44‐!F31</f>
        <v>1516</v>
      </c>
      <c r="J94" s="308">
        <f>‐44‐!G31</f>
        <v>559</v>
      </c>
      <c r="K94" s="308">
        <f>‐44‐!I31</f>
        <v>5782</v>
      </c>
      <c r="L94" s="308">
        <f>‐44‐!J31</f>
        <v>6050</v>
      </c>
    </row>
    <row r="95" spans="1:12">
      <c r="H95" s="329">
        <v>21</v>
      </c>
      <c r="I95" s="308">
        <f>‐44‐!F32</f>
        <v>1544</v>
      </c>
      <c r="J95" s="308">
        <f>‐44‐!G32</f>
        <v>577</v>
      </c>
      <c r="K95" s="308">
        <f>‐44‐!I32</f>
        <v>5675</v>
      </c>
      <c r="L95" s="308">
        <f>‐44‐!J32</f>
        <v>5759</v>
      </c>
    </row>
    <row r="96" spans="1:12">
      <c r="H96" s="329">
        <v>22</v>
      </c>
      <c r="I96" s="308">
        <f>‐44‐!F33</f>
        <v>1507</v>
      </c>
      <c r="J96" s="308">
        <f>‐44‐!G33</f>
        <v>654</v>
      </c>
      <c r="K96" s="308">
        <f>‐44‐!I33</f>
        <v>5698</v>
      </c>
      <c r="L96" s="308">
        <f>‐44‐!J33</f>
        <v>5894</v>
      </c>
    </row>
    <row r="97" spans="8:12">
      <c r="H97" s="329">
        <v>23</v>
      </c>
      <c r="I97" s="308">
        <f>‐44‐!F34</f>
        <v>1542</v>
      </c>
      <c r="J97" s="308">
        <f>‐44‐!G34</f>
        <v>683</v>
      </c>
      <c r="K97" s="308">
        <f>‐44‐!I34</f>
        <v>5604</v>
      </c>
      <c r="L97" s="308">
        <f>‐44‐!J34</f>
        <v>5736</v>
      </c>
    </row>
    <row r="98" spans="8:12">
      <c r="H98" s="329">
        <v>24</v>
      </c>
      <c r="I98" s="308">
        <f>‐44‐!F35</f>
        <v>1540</v>
      </c>
      <c r="J98" s="308">
        <f>‐44‐!G35</f>
        <v>641</v>
      </c>
      <c r="K98" s="308">
        <f>‐44‐!I35</f>
        <v>6298</v>
      </c>
      <c r="L98" s="308">
        <f>‐44‐!J35</f>
        <v>5624</v>
      </c>
    </row>
    <row r="99" spans="8:12">
      <c r="H99" s="329">
        <v>25</v>
      </c>
      <c r="I99" s="308">
        <f>‐44‐!F36</f>
        <v>1452</v>
      </c>
      <c r="J99" s="308">
        <f>‐44‐!G36</f>
        <v>640</v>
      </c>
      <c r="K99" s="308">
        <f>‐44‐!I36</f>
        <v>6024</v>
      </c>
      <c r="L99" s="308">
        <f>‐44‐!J36</f>
        <v>6342</v>
      </c>
    </row>
    <row r="100" spans="8:12">
      <c r="H100" s="329">
        <v>26</v>
      </c>
      <c r="I100" s="308">
        <f>‐44‐!F37</f>
        <v>1391</v>
      </c>
      <c r="J100" s="308">
        <f>‐44‐!G37</f>
        <v>671</v>
      </c>
      <c r="K100" s="308">
        <f>‐44‐!I37</f>
        <v>5587</v>
      </c>
      <c r="L100" s="308">
        <f>‐44‐!J37</f>
        <v>6279</v>
      </c>
    </row>
    <row r="101" spans="8:12">
      <c r="H101" s="329">
        <v>27</v>
      </c>
      <c r="I101" s="308">
        <f>‐44‐!F38</f>
        <v>1433</v>
      </c>
      <c r="J101" s="308">
        <f>‐44‐!G38</f>
        <v>687</v>
      </c>
      <c r="K101" s="308">
        <f>‐44‐!I38</f>
        <v>5477</v>
      </c>
      <c r="L101" s="308">
        <f>‐44‐!J38</f>
        <v>6303</v>
      </c>
    </row>
    <row r="102" spans="8:12">
      <c r="H102" s="329">
        <v>28</v>
      </c>
      <c r="I102" s="308">
        <f>‐44‐!F39</f>
        <v>1350</v>
      </c>
      <c r="J102" s="308">
        <f>‐44‐!G39</f>
        <v>730</v>
      </c>
      <c r="K102" s="308">
        <f>‐44‐!I39</f>
        <v>5854</v>
      </c>
      <c r="L102" s="308">
        <f>‐44‐!J39</f>
        <v>6322</v>
      </c>
    </row>
    <row r="103" spans="8:12">
      <c r="H103" s="329">
        <v>29</v>
      </c>
      <c r="I103" s="308">
        <f>‐44‐!F40</f>
        <v>1291</v>
      </c>
      <c r="J103" s="308">
        <f>‐44‐!G40</f>
        <v>737</v>
      </c>
      <c r="K103" s="308">
        <f>‐44‐!I40</f>
        <v>5634</v>
      </c>
      <c r="L103" s="308">
        <f>‐44‐!J40</f>
        <v>6153</v>
      </c>
    </row>
    <row r="104" spans="8:12">
      <c r="H104" s="329" t="s">
        <v>692</v>
      </c>
      <c r="I104" s="308">
        <f>‐44‐!F41</f>
        <v>1250</v>
      </c>
      <c r="J104" s="308">
        <f>‐44‐!G41</f>
        <v>737</v>
      </c>
      <c r="K104" s="308">
        <f>‐44‐!I41</f>
        <v>5825</v>
      </c>
      <c r="L104" s="308">
        <f>‐44‐!J41</f>
        <v>6179</v>
      </c>
    </row>
    <row r="109" spans="8:12">
      <c r="I109" s="98"/>
      <c r="J109" s="98"/>
      <c r="K109" s="98"/>
    </row>
    <row r="110" spans="8:12">
      <c r="L110" s="98"/>
    </row>
    <row r="123" spans="1:11">
      <c r="H123" s="616" t="s">
        <v>693</v>
      </c>
    </row>
    <row r="124" spans="1:11">
      <c r="A124" s="305" t="s">
        <v>506</v>
      </c>
      <c r="H124" s="321" t="s">
        <v>685</v>
      </c>
    </row>
    <row r="125" spans="1:11">
      <c r="C125" s="336"/>
      <c r="H125" s="322"/>
      <c r="I125" s="330" t="s">
        <v>476</v>
      </c>
      <c r="J125" s="330" t="s">
        <v>477</v>
      </c>
      <c r="K125" s="330" t="s">
        <v>7</v>
      </c>
    </row>
    <row r="126" spans="1:11">
      <c r="H126" s="322" t="s">
        <v>659</v>
      </c>
      <c r="I126" s="308">
        <f>[1]‐48‐!D25</f>
        <v>20362</v>
      </c>
      <c r="J126" s="308">
        <f>[1]‐48‐!E25</f>
        <v>21406</v>
      </c>
      <c r="K126" s="335">
        <f>[1]‐48‐!G25</f>
        <v>35.520000000000003</v>
      </c>
    </row>
    <row r="127" spans="1:11">
      <c r="H127" s="322" t="s">
        <v>507</v>
      </c>
      <c r="I127" s="308">
        <f>[1]‐48‐!D27</f>
        <v>29382</v>
      </c>
      <c r="J127" s="308">
        <f>[1]‐48‐!E27</f>
        <v>29907</v>
      </c>
      <c r="K127" s="335">
        <f>[1]‐48‐!G27</f>
        <v>41.95</v>
      </c>
    </row>
    <row r="128" spans="1:11">
      <c r="H128" s="322" t="s">
        <v>508</v>
      </c>
      <c r="I128" s="308">
        <f>[1]‐48‐!D29</f>
        <v>34773</v>
      </c>
      <c r="J128" s="308">
        <f>[1]‐48‐!E29</f>
        <v>35509</v>
      </c>
      <c r="K128" s="335">
        <f>[1]‐48‐!G29</f>
        <v>18.54</v>
      </c>
    </row>
    <row r="129" spans="2:11">
      <c r="H129" s="322" t="s">
        <v>509</v>
      </c>
      <c r="I129" s="308">
        <f>[1]‐48‐!D31</f>
        <v>40547</v>
      </c>
      <c r="J129" s="308">
        <f>[1]‐48‐!E31</f>
        <v>41064</v>
      </c>
      <c r="K129" s="335">
        <f>[1]‐48‐!G31</f>
        <v>16.12</v>
      </c>
    </row>
    <row r="130" spans="2:11">
      <c r="H130" s="322" t="s">
        <v>561</v>
      </c>
      <c r="I130" s="308">
        <f>[1]‐48‐!D33</f>
        <v>44316</v>
      </c>
      <c r="J130" s="308">
        <f>[1]‐48‐!E33</f>
        <v>45678</v>
      </c>
      <c r="K130" s="335">
        <f>[1]‐48‐!G33</f>
        <v>10.27</v>
      </c>
    </row>
    <row r="131" spans="2:11">
      <c r="H131" s="322" t="s">
        <v>562</v>
      </c>
      <c r="I131" s="308">
        <f>[1]‐48‐!D35</f>
        <v>47360</v>
      </c>
      <c r="J131" s="308">
        <f>[1]‐48‐!E35</f>
        <v>48642</v>
      </c>
      <c r="K131" s="335">
        <f>[1]‐48‐!G35</f>
        <v>6.68</v>
      </c>
    </row>
    <row r="132" spans="2:11">
      <c r="H132" s="322" t="s">
        <v>510</v>
      </c>
      <c r="I132" s="308">
        <f>[1]‐48‐!D37</f>
        <v>50440</v>
      </c>
      <c r="J132" s="308">
        <f>[1]‐48‐!E37</f>
        <v>52294</v>
      </c>
      <c r="K132" s="335">
        <f>[1]‐48‐!G37</f>
        <v>7.01</v>
      </c>
    </row>
    <row r="133" spans="2:11">
      <c r="H133" s="322" t="s">
        <v>511</v>
      </c>
      <c r="I133" s="308">
        <f>[1]‐48‐!D39</f>
        <v>52128</v>
      </c>
      <c r="J133" s="308">
        <f>[1]‐48‐!E39</f>
        <v>53921</v>
      </c>
      <c r="K133" s="335">
        <f>[1]‐48‐!G39</f>
        <v>3.23</v>
      </c>
    </row>
    <row r="134" spans="2:11">
      <c r="H134" s="322" t="s">
        <v>5</v>
      </c>
      <c r="I134" s="308">
        <f>[1]‐48‐!D41</f>
        <v>53948</v>
      </c>
      <c r="J134" s="308">
        <f>[1]‐48‐!E41</f>
        <v>56403</v>
      </c>
      <c r="K134" s="335">
        <f>[1]‐48‐!G41</f>
        <v>4.0599999999999996</v>
      </c>
    </row>
    <row r="135" spans="2:11">
      <c r="H135" s="322" t="s">
        <v>660</v>
      </c>
      <c r="I135" s="332">
        <f>[1]‐48‐!D43</f>
        <v>55471</v>
      </c>
      <c r="J135" s="333">
        <f>[1]‐48‐!E43</f>
        <v>58761</v>
      </c>
      <c r="K135" s="334">
        <f>[1]‐48‐!G43</f>
        <v>3.52</v>
      </c>
    </row>
    <row r="136" spans="2:11">
      <c r="J136" s="303" t="s">
        <v>684</v>
      </c>
    </row>
    <row r="137" spans="2:11">
      <c r="B137" s="317"/>
      <c r="C137" s="317"/>
    </row>
    <row r="139" spans="2:11">
      <c r="B139" s="317"/>
      <c r="C139" s="317"/>
    </row>
    <row r="141" spans="2:11">
      <c r="B141" s="317"/>
      <c r="C141" s="317"/>
    </row>
    <row r="154" spans="1:10">
      <c r="H154" s="616" t="s">
        <v>693</v>
      </c>
    </row>
    <row r="155" spans="1:10">
      <c r="A155" s="305" t="s">
        <v>512</v>
      </c>
      <c r="H155" s="384">
        <v>-12</v>
      </c>
    </row>
    <row r="156" spans="1:10">
      <c r="H156" s="306"/>
      <c r="I156" s="306" t="s">
        <v>513</v>
      </c>
      <c r="J156" s="306" t="s">
        <v>514</v>
      </c>
    </row>
    <row r="157" spans="1:10">
      <c r="B157" s="375" t="s">
        <v>661</v>
      </c>
      <c r="H157" s="306" t="s">
        <v>515</v>
      </c>
      <c r="I157" s="386">
        <f>[1]‐53‐!P14</f>
        <v>64.014373716632448</v>
      </c>
      <c r="J157" s="386">
        <f>100-I157</f>
        <v>35.985626283367552</v>
      </c>
    </row>
    <row r="158" spans="1:10">
      <c r="H158" s="306" t="s">
        <v>516</v>
      </c>
      <c r="I158" s="386">
        <f>[1]‐53‐!N14</f>
        <v>97.318614748931992</v>
      </c>
      <c r="J158" s="386">
        <f>100-I158</f>
        <v>2.6813852510680078</v>
      </c>
    </row>
    <row r="180" spans="1:15">
      <c r="D180" s="305" t="s">
        <v>517</v>
      </c>
    </row>
    <row r="183" spans="1:15">
      <c r="M183" s="616" t="s">
        <v>672</v>
      </c>
    </row>
    <row r="185" spans="1:15">
      <c r="A185" s="305"/>
      <c r="B185" s="627" t="s">
        <v>535</v>
      </c>
      <c r="C185" s="305"/>
      <c r="D185" s="374"/>
      <c r="E185" s="402" t="s">
        <v>534</v>
      </c>
      <c r="F185" s="305"/>
      <c r="H185" s="616" t="s">
        <v>693</v>
      </c>
      <c r="M185" s="321" t="s">
        <v>683</v>
      </c>
    </row>
    <row r="186" spans="1:15">
      <c r="B186" s="627" t="s">
        <v>682</v>
      </c>
      <c r="C186" s="305"/>
      <c r="E186" s="402" t="s">
        <v>681</v>
      </c>
      <c r="F186" s="305"/>
      <c r="H186" s="384">
        <v>-13</v>
      </c>
      <c r="M186" s="597"/>
      <c r="N186" s="597" t="s">
        <v>476</v>
      </c>
      <c r="O186" s="597" t="s">
        <v>477</v>
      </c>
    </row>
    <row r="187" spans="1:15">
      <c r="A187" s="1031"/>
      <c r="B187" s="1031"/>
      <c r="C187" s="305"/>
      <c r="D187" s="305"/>
      <c r="E187" s="305"/>
      <c r="F187" s="305"/>
      <c r="H187" s="318"/>
      <c r="I187" s="312" t="s">
        <v>518</v>
      </c>
      <c r="J187" s="312" t="s">
        <v>519</v>
      </c>
      <c r="K187" s="312" t="s">
        <v>520</v>
      </c>
      <c r="M187" s="597">
        <v>0</v>
      </c>
      <c r="N187" s="597">
        <v>668</v>
      </c>
      <c r="O187" s="597">
        <v>699</v>
      </c>
    </row>
    <row r="188" spans="1:15">
      <c r="A188" s="305"/>
      <c r="B188" s="305"/>
      <c r="C188" s="305"/>
      <c r="D188" s="305"/>
      <c r="E188" s="305"/>
      <c r="F188" s="305"/>
      <c r="H188" s="319" t="s">
        <v>571</v>
      </c>
      <c r="I188" s="308">
        <f>[1]‐50‐!C12</f>
        <v>21528</v>
      </c>
      <c r="J188" s="308">
        <f>[1]‐50‐!G12</f>
        <v>71343</v>
      </c>
      <c r="K188" s="308">
        <f>[1]‐50‐!J12</f>
        <v>13169</v>
      </c>
      <c r="M188" s="597">
        <v>1</v>
      </c>
      <c r="N188" s="597">
        <v>672</v>
      </c>
      <c r="O188" s="597">
        <v>646</v>
      </c>
    </row>
    <row r="189" spans="1:15">
      <c r="A189" s="305"/>
      <c r="B189" s="305"/>
      <c r="C189" s="305"/>
      <c r="D189" s="305"/>
      <c r="E189" s="305"/>
      <c r="F189" s="305"/>
      <c r="H189" s="319" t="s">
        <v>5</v>
      </c>
      <c r="I189" s="308">
        <f>[1]‐50‐!C14</f>
        <v>21264</v>
      </c>
      <c r="J189" s="308">
        <f>[1]‐50‐!G14</f>
        <v>72687</v>
      </c>
      <c r="K189" s="308">
        <f>[1]‐50‐!J14</f>
        <v>15846</v>
      </c>
      <c r="M189" s="597">
        <v>2</v>
      </c>
      <c r="N189" s="597">
        <v>676</v>
      </c>
      <c r="O189" s="597">
        <v>684</v>
      </c>
    </row>
    <row r="190" spans="1:15">
      <c r="A190" s="305"/>
      <c r="B190" s="305"/>
      <c r="C190" s="305"/>
      <c r="D190" s="305"/>
      <c r="E190" s="305"/>
      <c r="F190" s="305"/>
      <c r="H190" s="319" t="s">
        <v>660</v>
      </c>
      <c r="I190" s="308">
        <f>[1]‐50‐!C16</f>
        <v>20910</v>
      </c>
      <c r="J190" s="308">
        <f>[1]‐50‐!G16</f>
        <v>72626</v>
      </c>
      <c r="K190" s="308">
        <f>[1]‐50‐!J16</f>
        <v>19476</v>
      </c>
      <c r="M190" s="597">
        <v>3</v>
      </c>
      <c r="N190" s="597">
        <v>750</v>
      </c>
      <c r="O190" s="597">
        <v>711</v>
      </c>
    </row>
    <row r="191" spans="1:15">
      <c r="A191" s="305"/>
      <c r="B191" s="305"/>
      <c r="C191" s="305"/>
      <c r="D191" s="305"/>
      <c r="E191" s="305"/>
      <c r="F191" s="305"/>
      <c r="M191" s="597">
        <v>4</v>
      </c>
      <c r="N191" s="597">
        <v>681</v>
      </c>
      <c r="O191" s="597">
        <v>716</v>
      </c>
    </row>
    <row r="192" spans="1:15">
      <c r="A192" s="305"/>
      <c r="B192" s="305"/>
      <c r="C192" s="305"/>
      <c r="D192" s="305"/>
      <c r="E192" s="305"/>
      <c r="F192" s="305"/>
      <c r="M192" s="597">
        <v>5</v>
      </c>
      <c r="N192" s="597">
        <v>719</v>
      </c>
      <c r="O192" s="597">
        <v>678</v>
      </c>
    </row>
    <row r="193" spans="1:15">
      <c r="A193" s="305"/>
      <c r="B193" s="305"/>
      <c r="C193" s="305"/>
      <c r="D193" s="305"/>
      <c r="E193" s="305"/>
      <c r="F193" s="305"/>
      <c r="M193" s="597">
        <v>6</v>
      </c>
      <c r="N193" s="597">
        <v>717</v>
      </c>
      <c r="O193" s="597">
        <v>682</v>
      </c>
    </row>
    <row r="194" spans="1:15">
      <c r="A194" s="305"/>
      <c r="B194" s="305"/>
      <c r="C194" s="305"/>
      <c r="D194" s="305"/>
      <c r="E194" s="305"/>
      <c r="F194" s="305"/>
      <c r="H194" s="616" t="s">
        <v>693</v>
      </c>
      <c r="M194" s="597">
        <v>7</v>
      </c>
      <c r="N194" s="597">
        <v>673</v>
      </c>
      <c r="O194" s="597">
        <v>715</v>
      </c>
    </row>
    <row r="195" spans="1:15">
      <c r="A195" s="305"/>
      <c r="B195" s="305"/>
      <c r="C195" s="305"/>
      <c r="E195" s="305"/>
      <c r="F195" s="305"/>
      <c r="H195" s="385">
        <v>-14</v>
      </c>
      <c r="M195" s="597">
        <v>8</v>
      </c>
      <c r="N195" s="597">
        <v>727</v>
      </c>
      <c r="O195" s="597">
        <v>668</v>
      </c>
    </row>
    <row r="196" spans="1:15">
      <c r="A196" s="305"/>
      <c r="B196" s="305"/>
      <c r="C196" s="305"/>
      <c r="D196" s="305"/>
      <c r="E196" s="305"/>
      <c r="F196" s="305"/>
      <c r="H196" s="315" t="s">
        <v>528</v>
      </c>
      <c r="I196" s="315" t="s">
        <v>521</v>
      </c>
      <c r="J196" s="315" t="s">
        <v>522</v>
      </c>
      <c r="K196" s="315" t="s">
        <v>491</v>
      </c>
      <c r="M196" s="597">
        <v>9</v>
      </c>
      <c r="N196" s="597">
        <v>736</v>
      </c>
      <c r="O196" s="597">
        <v>691</v>
      </c>
    </row>
    <row r="197" spans="1:15">
      <c r="A197" s="305"/>
      <c r="B197" s="305"/>
      <c r="C197" s="305"/>
      <c r="D197" s="305"/>
      <c r="E197" s="305"/>
      <c r="F197" s="305"/>
      <c r="H197" s="315" t="s">
        <v>571</v>
      </c>
      <c r="I197" s="320">
        <v>16350</v>
      </c>
      <c r="J197" s="320">
        <v>20157</v>
      </c>
      <c r="K197" s="320">
        <v>1679</v>
      </c>
      <c r="L197" s="382"/>
      <c r="M197" s="597">
        <v>10</v>
      </c>
      <c r="N197" s="597">
        <v>661</v>
      </c>
      <c r="O197" s="597">
        <v>595</v>
      </c>
    </row>
    <row r="198" spans="1:15">
      <c r="A198" s="305"/>
      <c r="B198" s="305"/>
      <c r="C198" s="305"/>
      <c r="D198" s="305"/>
      <c r="E198" s="305"/>
      <c r="F198" s="305"/>
      <c r="H198" s="315" t="s">
        <v>5</v>
      </c>
      <c r="I198" s="320">
        <f>[1]‐54‐!B27</f>
        <v>16933</v>
      </c>
      <c r="J198" s="320">
        <f>[1]‐54‐!B28+[1]‐54‐!B29</f>
        <v>21936</v>
      </c>
      <c r="K198" s="320">
        <f>[1]‐54‐!B30+[1]‐54‐!B31</f>
        <v>1825</v>
      </c>
      <c r="L198" s="383"/>
      <c r="M198" s="597">
        <v>11</v>
      </c>
      <c r="N198" s="597">
        <v>736</v>
      </c>
      <c r="O198" s="597">
        <v>670</v>
      </c>
    </row>
    <row r="199" spans="1:15">
      <c r="A199" s="305"/>
      <c r="B199" s="305"/>
      <c r="C199" s="305"/>
      <c r="D199" s="305"/>
      <c r="E199" s="305"/>
      <c r="F199" s="305"/>
      <c r="H199" s="315" t="s">
        <v>660</v>
      </c>
      <c r="I199" s="320">
        <f>[1]‐54‐!C27</f>
        <v>18531</v>
      </c>
      <c r="J199" s="320">
        <f>[1]‐54‐!C28+[1]‐54‐!C29</f>
        <v>23767</v>
      </c>
      <c r="K199" s="320">
        <f>[1]‐54‐!C30+[1]‐54‐!C31</f>
        <v>1465</v>
      </c>
      <c r="L199" s="383"/>
      <c r="M199" s="597">
        <v>12</v>
      </c>
      <c r="N199" s="597">
        <v>748</v>
      </c>
      <c r="O199" s="597">
        <v>680</v>
      </c>
    </row>
    <row r="200" spans="1:15">
      <c r="A200" s="305"/>
      <c r="B200" s="305"/>
      <c r="C200" s="305"/>
      <c r="D200" s="305"/>
      <c r="E200" s="305"/>
      <c r="F200" s="305"/>
      <c r="L200" s="383"/>
      <c r="M200" s="597">
        <v>13</v>
      </c>
      <c r="N200" s="597">
        <v>702</v>
      </c>
      <c r="O200" s="597">
        <v>696</v>
      </c>
    </row>
    <row r="201" spans="1:15">
      <c r="A201" s="305"/>
      <c r="B201" s="305"/>
      <c r="C201" s="305"/>
      <c r="D201" s="305"/>
      <c r="E201" s="305"/>
      <c r="F201" s="305"/>
      <c r="M201" s="597">
        <v>14</v>
      </c>
      <c r="N201" s="597">
        <v>776</v>
      </c>
      <c r="O201" s="597">
        <v>737</v>
      </c>
    </row>
    <row r="202" spans="1:15">
      <c r="A202" s="305"/>
      <c r="B202" s="305"/>
      <c r="C202" s="305"/>
      <c r="D202" s="305"/>
      <c r="E202" s="305"/>
      <c r="F202" s="305"/>
      <c r="M202" s="597">
        <v>15</v>
      </c>
      <c r="N202" s="597">
        <v>711</v>
      </c>
      <c r="O202" s="597">
        <v>744</v>
      </c>
    </row>
    <row r="203" spans="1:15">
      <c r="A203" s="305"/>
      <c r="B203" s="305"/>
      <c r="C203" s="305"/>
      <c r="D203" s="305"/>
      <c r="E203" s="305"/>
      <c r="F203" s="305"/>
      <c r="M203" s="597">
        <v>16</v>
      </c>
      <c r="N203" s="597">
        <v>753</v>
      </c>
      <c r="O203" s="597">
        <v>730</v>
      </c>
    </row>
    <row r="204" spans="1:15">
      <c r="A204" s="305"/>
      <c r="B204" s="305"/>
      <c r="C204" s="305"/>
      <c r="D204" s="305"/>
      <c r="E204" s="305"/>
      <c r="F204" s="305"/>
      <c r="M204" s="597">
        <v>17</v>
      </c>
      <c r="N204" s="597">
        <v>785</v>
      </c>
      <c r="O204" s="597">
        <v>710</v>
      </c>
    </row>
    <row r="205" spans="1:15">
      <c r="A205" s="305"/>
      <c r="B205" s="305"/>
      <c r="C205" s="305"/>
      <c r="D205" s="305"/>
      <c r="E205" s="305"/>
      <c r="F205" s="305"/>
      <c r="M205" s="597">
        <v>18</v>
      </c>
      <c r="N205" s="597">
        <v>676</v>
      </c>
      <c r="O205" s="597">
        <v>657</v>
      </c>
    </row>
    <row r="206" spans="1:15">
      <c r="A206" s="305"/>
      <c r="B206" s="305"/>
      <c r="C206" s="305"/>
      <c r="D206" s="305"/>
      <c r="E206" s="305"/>
      <c r="F206" s="305"/>
      <c r="H206" s="376"/>
      <c r="I206" s="628"/>
      <c r="J206" s="628"/>
      <c r="K206" s="626"/>
      <c r="M206" s="597">
        <v>19</v>
      </c>
      <c r="N206" s="597">
        <v>579</v>
      </c>
      <c r="O206" s="597">
        <v>559</v>
      </c>
    </row>
    <row r="207" spans="1:15">
      <c r="A207" s="305"/>
      <c r="B207" s="305"/>
      <c r="C207" s="305"/>
      <c r="D207" s="305"/>
      <c r="E207" s="305"/>
      <c r="F207" s="305"/>
      <c r="H207" s="376"/>
      <c r="I207" s="1032"/>
      <c r="J207" s="1032"/>
      <c r="K207" s="311"/>
      <c r="L207" s="626"/>
      <c r="M207" s="597">
        <v>20</v>
      </c>
      <c r="N207" s="597">
        <v>559</v>
      </c>
      <c r="O207" s="597">
        <v>605</v>
      </c>
    </row>
    <row r="208" spans="1:15">
      <c r="A208" s="305"/>
      <c r="B208" s="305"/>
      <c r="C208" s="305"/>
      <c r="D208" s="305"/>
      <c r="E208" s="305"/>
      <c r="F208" s="305"/>
      <c r="H208" s="376"/>
      <c r="I208" s="1032"/>
      <c r="J208" s="1032"/>
      <c r="K208" s="311"/>
      <c r="L208" s="311"/>
      <c r="M208" s="597">
        <v>21</v>
      </c>
      <c r="N208" s="597">
        <v>571</v>
      </c>
      <c r="O208" s="597">
        <v>556</v>
      </c>
    </row>
    <row r="209" spans="1:15">
      <c r="A209" s="305"/>
      <c r="B209" s="305"/>
      <c r="C209" s="305"/>
      <c r="D209" s="305"/>
      <c r="E209" s="305"/>
      <c r="F209" s="305"/>
      <c r="H209" s="628"/>
      <c r="I209" s="377"/>
      <c r="J209" s="377"/>
      <c r="K209" s="311"/>
      <c r="L209" s="311"/>
      <c r="M209" s="597">
        <v>22</v>
      </c>
      <c r="N209" s="597">
        <v>570</v>
      </c>
      <c r="O209" s="597">
        <v>593</v>
      </c>
    </row>
    <row r="210" spans="1:15">
      <c r="A210" s="305"/>
      <c r="B210" s="305"/>
      <c r="C210" s="305"/>
      <c r="D210" s="305"/>
      <c r="E210" s="305"/>
      <c r="F210" s="305"/>
      <c r="H210" s="628"/>
      <c r="I210" s="377"/>
      <c r="J210" s="377"/>
      <c r="K210" s="311"/>
      <c r="L210" s="311"/>
      <c r="M210" s="597">
        <v>23</v>
      </c>
      <c r="N210" s="597">
        <v>592</v>
      </c>
      <c r="O210" s="597">
        <v>588</v>
      </c>
    </row>
    <row r="211" spans="1:15">
      <c r="A211" s="305"/>
      <c r="B211" s="305"/>
      <c r="C211" s="305"/>
      <c r="D211" s="305"/>
      <c r="E211" s="305"/>
      <c r="F211" s="305"/>
      <c r="H211" s="628"/>
      <c r="I211" s="377"/>
      <c r="J211" s="377"/>
      <c r="K211" s="311"/>
      <c r="L211" s="311"/>
      <c r="M211" s="597">
        <v>24</v>
      </c>
      <c r="N211" s="597">
        <v>617</v>
      </c>
      <c r="O211" s="597">
        <v>586</v>
      </c>
    </row>
    <row r="212" spans="1:15">
      <c r="B212" s="305"/>
      <c r="C212" s="305"/>
      <c r="D212" s="305"/>
      <c r="E212" s="305"/>
      <c r="F212" s="305"/>
      <c r="H212" s="628"/>
      <c r="I212" s="377"/>
      <c r="J212" s="377"/>
      <c r="K212" s="311"/>
      <c r="L212" s="311"/>
      <c r="M212" s="597">
        <v>25</v>
      </c>
      <c r="N212" s="597">
        <v>594</v>
      </c>
      <c r="O212" s="597">
        <v>601</v>
      </c>
    </row>
    <row r="213" spans="1:15">
      <c r="B213" s="375" t="s">
        <v>680</v>
      </c>
      <c r="C213" s="305"/>
      <c r="D213" s="305"/>
      <c r="F213" s="305"/>
      <c r="H213" s="628"/>
      <c r="I213" s="377"/>
      <c r="J213" s="377"/>
      <c r="K213" s="311"/>
      <c r="L213" s="311"/>
      <c r="M213" s="597">
        <v>26</v>
      </c>
      <c r="N213" s="597">
        <v>601</v>
      </c>
      <c r="O213" s="597">
        <v>616</v>
      </c>
    </row>
    <row r="214" spans="1:15">
      <c r="A214" s="305"/>
      <c r="B214" s="305"/>
      <c r="C214" s="305"/>
      <c r="D214" s="305"/>
      <c r="E214" s="374"/>
      <c r="F214" s="305"/>
      <c r="H214" s="628"/>
      <c r="I214" s="377"/>
      <c r="J214" s="377"/>
      <c r="K214" s="311"/>
      <c r="L214" s="311"/>
      <c r="M214" s="597">
        <v>27</v>
      </c>
      <c r="N214" s="597">
        <v>607</v>
      </c>
      <c r="O214" s="597">
        <v>648</v>
      </c>
    </row>
    <row r="215" spans="1:15">
      <c r="A215" s="1031"/>
      <c r="B215" s="1031"/>
      <c r="C215" s="1031" t="s">
        <v>663</v>
      </c>
      <c r="D215" s="1031"/>
      <c r="F215" s="305"/>
      <c r="H215" s="628"/>
      <c r="I215" s="377"/>
      <c r="J215" s="377"/>
      <c r="K215" s="311"/>
      <c r="L215" s="311"/>
      <c r="M215" s="597">
        <v>28</v>
      </c>
      <c r="N215" s="597">
        <v>686</v>
      </c>
      <c r="O215" s="597">
        <v>669</v>
      </c>
    </row>
    <row r="216" spans="1:15">
      <c r="A216" s="305"/>
      <c r="B216" s="305"/>
      <c r="C216" s="305"/>
      <c r="D216" s="305"/>
      <c r="E216" s="305"/>
      <c r="F216" s="305"/>
      <c r="H216" s="628"/>
      <c r="I216" s="377"/>
      <c r="J216" s="377"/>
      <c r="K216" s="311"/>
      <c r="L216" s="311"/>
      <c r="M216" s="597">
        <v>29</v>
      </c>
      <c r="N216" s="597">
        <v>712</v>
      </c>
      <c r="O216" s="597">
        <v>728</v>
      </c>
    </row>
    <row r="217" spans="1:15">
      <c r="A217" s="305"/>
      <c r="B217" s="305"/>
      <c r="C217" s="305"/>
      <c r="D217" s="305"/>
      <c r="E217" s="305"/>
      <c r="F217" s="305"/>
      <c r="H217" s="628"/>
      <c r="I217" s="377"/>
      <c r="J217" s="377"/>
      <c r="K217" s="311"/>
      <c r="L217" s="311"/>
      <c r="M217" s="597">
        <v>30</v>
      </c>
      <c r="N217" s="597">
        <v>701</v>
      </c>
      <c r="O217" s="597">
        <v>754</v>
      </c>
    </row>
    <row r="218" spans="1:15">
      <c r="A218" s="305"/>
      <c r="B218" s="305"/>
      <c r="C218" s="305"/>
      <c r="D218" s="305"/>
      <c r="E218" s="305"/>
      <c r="F218" s="305"/>
      <c r="H218" s="628"/>
      <c r="I218" s="377"/>
      <c r="J218" s="377"/>
      <c r="K218" s="311"/>
      <c r="L218" s="311"/>
      <c r="M218" s="597">
        <v>31</v>
      </c>
      <c r="N218" s="597">
        <v>710</v>
      </c>
      <c r="O218" s="597">
        <v>793</v>
      </c>
    </row>
    <row r="219" spans="1:15">
      <c r="A219" s="305"/>
      <c r="B219" s="305"/>
      <c r="C219" s="305"/>
      <c r="D219" s="305"/>
      <c r="E219" s="305"/>
      <c r="F219" s="305"/>
      <c r="H219" s="378"/>
      <c r="I219" s="378"/>
      <c r="J219" s="378"/>
      <c r="K219" s="311"/>
      <c r="L219" s="311"/>
      <c r="M219" s="597">
        <v>32</v>
      </c>
      <c r="N219" s="597">
        <v>748</v>
      </c>
      <c r="O219" s="597">
        <v>773</v>
      </c>
    </row>
    <row r="220" spans="1:15">
      <c r="A220" s="305"/>
      <c r="B220" s="305"/>
      <c r="C220" s="305"/>
      <c r="D220" s="305"/>
      <c r="E220" s="305"/>
      <c r="F220" s="305"/>
      <c r="H220" s="379"/>
      <c r="I220" s="311"/>
      <c r="J220" s="311"/>
      <c r="K220" s="311"/>
      <c r="L220" s="311"/>
      <c r="M220" s="597">
        <v>33</v>
      </c>
      <c r="N220" s="597">
        <v>698</v>
      </c>
      <c r="O220" s="597">
        <v>746</v>
      </c>
    </row>
    <row r="221" spans="1:15">
      <c r="A221" s="305"/>
      <c r="B221" s="305"/>
      <c r="C221" s="305"/>
      <c r="D221" s="305"/>
      <c r="E221" s="305"/>
      <c r="F221" s="305"/>
      <c r="H221" s="379"/>
      <c r="I221" s="626"/>
      <c r="J221" s="626"/>
      <c r="K221" s="311"/>
      <c r="L221" s="311"/>
      <c r="M221" s="597">
        <v>34</v>
      </c>
      <c r="N221" s="597">
        <v>711</v>
      </c>
      <c r="O221" s="597">
        <v>761</v>
      </c>
    </row>
    <row r="222" spans="1:15">
      <c r="A222" s="305"/>
      <c r="B222" s="305"/>
      <c r="C222" s="305"/>
      <c r="D222" s="305"/>
      <c r="E222" s="305"/>
      <c r="F222" s="305"/>
      <c r="H222" s="379"/>
      <c r="I222" s="626"/>
      <c r="J222" s="380"/>
      <c r="K222" s="311"/>
      <c r="M222" s="597">
        <v>35</v>
      </c>
      <c r="N222" s="597">
        <v>724</v>
      </c>
      <c r="O222" s="597">
        <v>779</v>
      </c>
    </row>
    <row r="223" spans="1:15">
      <c r="A223" s="305"/>
      <c r="B223" s="305"/>
      <c r="C223" s="305"/>
      <c r="D223" s="305"/>
      <c r="E223" s="305"/>
      <c r="F223" s="305"/>
      <c r="H223" s="626"/>
      <c r="I223" s="381"/>
      <c r="J223" s="381"/>
      <c r="K223" s="626"/>
      <c r="M223" s="597">
        <v>36</v>
      </c>
      <c r="N223" s="597">
        <v>757</v>
      </c>
      <c r="O223" s="597">
        <v>806</v>
      </c>
    </row>
    <row r="224" spans="1:15">
      <c r="H224" s="626"/>
      <c r="I224" s="381"/>
      <c r="J224" s="381"/>
      <c r="K224" s="311"/>
      <c r="M224" s="597">
        <v>37</v>
      </c>
      <c r="N224" s="597">
        <v>783</v>
      </c>
      <c r="O224" s="597">
        <v>826</v>
      </c>
    </row>
    <row r="225" spans="8:15">
      <c r="H225" s="626"/>
      <c r="I225" s="381"/>
      <c r="J225" s="381"/>
      <c r="K225" s="311"/>
      <c r="M225" s="597">
        <v>38</v>
      </c>
      <c r="N225" s="597">
        <v>766</v>
      </c>
      <c r="O225" s="597">
        <v>836</v>
      </c>
    </row>
    <row r="226" spans="8:15">
      <c r="H226" s="626"/>
      <c r="I226" s="381"/>
      <c r="J226" s="381"/>
      <c r="K226" s="311"/>
      <c r="M226" s="597">
        <v>39</v>
      </c>
      <c r="N226" s="597">
        <v>806</v>
      </c>
      <c r="O226" s="597">
        <v>868</v>
      </c>
    </row>
    <row r="227" spans="8:15">
      <c r="H227" s="626"/>
      <c r="I227" s="381"/>
      <c r="J227" s="381"/>
      <c r="K227" s="311"/>
      <c r="M227" s="597">
        <v>40</v>
      </c>
      <c r="N227" s="597">
        <v>908</v>
      </c>
      <c r="O227" s="597">
        <v>906</v>
      </c>
    </row>
    <row r="228" spans="8:15">
      <c r="H228" s="626"/>
      <c r="I228" s="381"/>
      <c r="J228" s="311"/>
      <c r="K228" s="311"/>
      <c r="M228" s="597">
        <v>41</v>
      </c>
      <c r="N228" s="597">
        <v>963</v>
      </c>
      <c r="O228" s="599">
        <v>1016</v>
      </c>
    </row>
    <row r="229" spans="8:15">
      <c r="H229" s="626"/>
      <c r="I229" s="381"/>
      <c r="J229" s="311"/>
      <c r="K229" s="311"/>
      <c r="M229" s="597">
        <v>42</v>
      </c>
      <c r="N229" s="597">
        <v>927</v>
      </c>
      <c r="O229" s="597">
        <v>973</v>
      </c>
    </row>
    <row r="230" spans="8:15">
      <c r="H230" s="626"/>
      <c r="I230" s="381"/>
      <c r="J230" s="311"/>
      <c r="K230" s="311"/>
      <c r="M230" s="597">
        <v>43</v>
      </c>
      <c r="N230" s="597">
        <v>881</v>
      </c>
      <c r="O230" s="597">
        <v>913</v>
      </c>
    </row>
    <row r="231" spans="8:15">
      <c r="H231" s="311"/>
      <c r="I231" s="311"/>
      <c r="J231" s="311"/>
      <c r="K231" s="311"/>
      <c r="M231" s="597">
        <v>44</v>
      </c>
      <c r="N231" s="597">
        <v>854</v>
      </c>
      <c r="O231" s="597">
        <v>885</v>
      </c>
    </row>
    <row r="232" spans="8:15">
      <c r="H232" s="311"/>
      <c r="I232" s="311"/>
      <c r="J232" s="311"/>
      <c r="K232" s="311"/>
      <c r="M232" s="597">
        <v>45</v>
      </c>
      <c r="N232" s="597">
        <v>799</v>
      </c>
      <c r="O232" s="597">
        <v>861</v>
      </c>
    </row>
    <row r="233" spans="8:15">
      <c r="M233" s="597">
        <v>46</v>
      </c>
      <c r="N233" s="597">
        <v>836</v>
      </c>
      <c r="O233" s="597">
        <v>843</v>
      </c>
    </row>
    <row r="234" spans="8:15">
      <c r="M234" s="597">
        <v>47</v>
      </c>
      <c r="N234" s="597">
        <v>813</v>
      </c>
      <c r="O234" s="597">
        <v>886</v>
      </c>
    </row>
    <row r="235" spans="8:15">
      <c r="M235" s="597">
        <v>48</v>
      </c>
      <c r="N235" s="597">
        <v>806</v>
      </c>
      <c r="O235" s="597">
        <v>840</v>
      </c>
    </row>
    <row r="236" spans="8:15">
      <c r="M236" s="597">
        <v>49</v>
      </c>
      <c r="N236" s="597">
        <v>624</v>
      </c>
      <c r="O236" s="597">
        <v>687</v>
      </c>
    </row>
    <row r="237" spans="8:15">
      <c r="M237" s="597">
        <v>50</v>
      </c>
      <c r="N237" s="597">
        <v>700</v>
      </c>
      <c r="O237" s="597">
        <v>749</v>
      </c>
    </row>
    <row r="238" spans="8:15">
      <c r="M238" s="597">
        <v>51</v>
      </c>
      <c r="N238" s="597">
        <v>713</v>
      </c>
      <c r="O238" s="597">
        <v>737</v>
      </c>
    </row>
    <row r="239" spans="8:15">
      <c r="H239" s="1030"/>
      <c r="I239" s="1030"/>
      <c r="M239" s="597">
        <v>52</v>
      </c>
      <c r="N239" s="597">
        <v>703</v>
      </c>
      <c r="O239" s="597">
        <v>796</v>
      </c>
    </row>
    <row r="240" spans="8:15">
      <c r="H240" s="626"/>
      <c r="I240" s="381"/>
      <c r="M240" s="597">
        <v>53</v>
      </c>
      <c r="N240" s="597">
        <v>629</v>
      </c>
      <c r="O240" s="597">
        <v>714</v>
      </c>
    </row>
    <row r="241" spans="8:15">
      <c r="H241" s="626"/>
      <c r="I241" s="381"/>
      <c r="M241" s="597">
        <v>54</v>
      </c>
      <c r="N241" s="597">
        <v>718</v>
      </c>
      <c r="O241" s="597">
        <v>746</v>
      </c>
    </row>
    <row r="242" spans="8:15">
      <c r="H242" s="626"/>
      <c r="I242" s="381"/>
      <c r="M242" s="597">
        <v>55</v>
      </c>
      <c r="N242" s="597">
        <v>675</v>
      </c>
      <c r="O242" s="597">
        <v>691</v>
      </c>
    </row>
    <row r="243" spans="8:15">
      <c r="H243" s="626"/>
      <c r="I243" s="381"/>
      <c r="M243" s="597">
        <v>56</v>
      </c>
      <c r="N243" s="597">
        <v>691</v>
      </c>
      <c r="O243" s="597">
        <v>686</v>
      </c>
    </row>
    <row r="244" spans="8:15">
      <c r="H244" s="626"/>
      <c r="I244" s="381"/>
      <c r="L244" s="316"/>
      <c r="M244" s="597">
        <v>57</v>
      </c>
      <c r="N244" s="597">
        <v>687</v>
      </c>
      <c r="O244" s="597">
        <v>647</v>
      </c>
    </row>
    <row r="245" spans="8:15">
      <c r="M245" s="597">
        <v>58</v>
      </c>
      <c r="N245" s="597">
        <v>621</v>
      </c>
      <c r="O245" s="597">
        <v>675</v>
      </c>
    </row>
    <row r="246" spans="8:15">
      <c r="M246" s="597">
        <v>59</v>
      </c>
      <c r="N246" s="597">
        <v>614</v>
      </c>
      <c r="O246" s="597">
        <v>639</v>
      </c>
    </row>
    <row r="247" spans="8:15">
      <c r="M247" s="597">
        <v>60</v>
      </c>
      <c r="N247" s="597">
        <v>655</v>
      </c>
      <c r="O247" s="597">
        <v>697</v>
      </c>
    </row>
    <row r="248" spans="8:15">
      <c r="M248" s="597">
        <v>61</v>
      </c>
      <c r="N248" s="597">
        <v>653</v>
      </c>
      <c r="O248" s="597">
        <v>733</v>
      </c>
    </row>
    <row r="249" spans="8:15">
      <c r="M249" s="597">
        <v>62</v>
      </c>
      <c r="N249" s="597">
        <v>689</v>
      </c>
      <c r="O249" s="597">
        <v>706</v>
      </c>
    </row>
    <row r="250" spans="8:15">
      <c r="M250" s="597">
        <v>63</v>
      </c>
      <c r="N250" s="597">
        <v>691</v>
      </c>
      <c r="O250" s="597">
        <v>756</v>
      </c>
    </row>
    <row r="251" spans="8:15">
      <c r="M251" s="597">
        <v>64</v>
      </c>
      <c r="N251" s="597">
        <v>686</v>
      </c>
      <c r="O251" s="597">
        <v>759</v>
      </c>
    </row>
    <row r="252" spans="8:15">
      <c r="M252" s="597">
        <v>65</v>
      </c>
      <c r="N252" s="597">
        <v>698</v>
      </c>
      <c r="O252" s="597">
        <v>733</v>
      </c>
    </row>
    <row r="253" spans="8:15">
      <c r="M253" s="597">
        <v>66</v>
      </c>
      <c r="N253" s="597">
        <v>655</v>
      </c>
      <c r="O253" s="597">
        <v>671</v>
      </c>
    </row>
    <row r="254" spans="8:15">
      <c r="M254" s="597">
        <v>67</v>
      </c>
      <c r="N254" s="597">
        <v>702</v>
      </c>
      <c r="O254" s="597">
        <v>721</v>
      </c>
    </row>
    <row r="255" spans="8:15">
      <c r="M255" s="597">
        <v>68</v>
      </c>
      <c r="N255" s="597">
        <v>557</v>
      </c>
      <c r="O255" s="597">
        <v>564</v>
      </c>
    </row>
    <row r="256" spans="8:15">
      <c r="M256" s="597">
        <v>69</v>
      </c>
      <c r="N256" s="597">
        <v>271</v>
      </c>
      <c r="O256" s="597">
        <v>291</v>
      </c>
    </row>
    <row r="257" spans="13:15">
      <c r="M257" s="597">
        <v>70</v>
      </c>
      <c r="N257" s="597">
        <v>297</v>
      </c>
      <c r="O257" s="597">
        <v>338</v>
      </c>
    </row>
    <row r="258" spans="13:15">
      <c r="M258" s="597">
        <v>71</v>
      </c>
      <c r="N258" s="597">
        <v>404</v>
      </c>
      <c r="O258" s="597">
        <v>453</v>
      </c>
    </row>
    <row r="259" spans="13:15">
      <c r="M259" s="597">
        <v>72</v>
      </c>
      <c r="N259" s="597">
        <v>396</v>
      </c>
      <c r="O259" s="597">
        <v>455</v>
      </c>
    </row>
    <row r="260" spans="13:15">
      <c r="M260" s="597">
        <v>73</v>
      </c>
      <c r="N260" s="597">
        <v>430</v>
      </c>
      <c r="O260" s="597">
        <v>474</v>
      </c>
    </row>
    <row r="261" spans="13:15">
      <c r="M261" s="597">
        <v>74</v>
      </c>
      <c r="N261" s="597">
        <v>446</v>
      </c>
      <c r="O261" s="597">
        <v>504</v>
      </c>
    </row>
    <row r="262" spans="13:15">
      <c r="M262" s="597">
        <v>75</v>
      </c>
      <c r="N262" s="597">
        <v>415</v>
      </c>
      <c r="O262" s="597">
        <v>476</v>
      </c>
    </row>
    <row r="263" spans="13:15">
      <c r="M263" s="597">
        <v>76</v>
      </c>
      <c r="N263" s="597">
        <v>387</v>
      </c>
      <c r="O263" s="597">
        <v>446</v>
      </c>
    </row>
    <row r="264" spans="13:15">
      <c r="M264" s="597">
        <v>77</v>
      </c>
      <c r="N264" s="597">
        <v>395</v>
      </c>
      <c r="O264" s="597">
        <v>429</v>
      </c>
    </row>
    <row r="265" spans="13:15">
      <c r="M265" s="597">
        <v>78</v>
      </c>
      <c r="N265" s="597">
        <v>343</v>
      </c>
      <c r="O265" s="597">
        <v>430</v>
      </c>
    </row>
    <row r="266" spans="13:15">
      <c r="M266" s="597">
        <v>79</v>
      </c>
      <c r="N266" s="597">
        <v>341</v>
      </c>
      <c r="O266" s="597">
        <v>440</v>
      </c>
    </row>
    <row r="267" spans="13:15">
      <c r="M267" s="597">
        <v>80</v>
      </c>
      <c r="N267" s="597">
        <v>297</v>
      </c>
      <c r="O267" s="597">
        <v>373</v>
      </c>
    </row>
    <row r="268" spans="13:15">
      <c r="M268" s="597">
        <v>81</v>
      </c>
      <c r="N268" s="597">
        <v>261</v>
      </c>
      <c r="O268" s="597">
        <v>407</v>
      </c>
    </row>
    <row r="269" spans="13:15">
      <c r="M269" s="597">
        <v>82</v>
      </c>
      <c r="N269" s="597">
        <v>264</v>
      </c>
      <c r="O269" s="597">
        <v>321</v>
      </c>
    </row>
    <row r="270" spans="13:15">
      <c r="M270" s="597">
        <v>83</v>
      </c>
      <c r="N270" s="597">
        <v>215</v>
      </c>
      <c r="O270" s="597">
        <v>312</v>
      </c>
    </row>
    <row r="271" spans="13:15">
      <c r="M271" s="597">
        <v>84</v>
      </c>
      <c r="N271" s="597">
        <v>140</v>
      </c>
      <c r="O271" s="597">
        <v>259</v>
      </c>
    </row>
    <row r="272" spans="13:15">
      <c r="M272" s="597">
        <v>85</v>
      </c>
      <c r="N272" s="597">
        <v>170</v>
      </c>
      <c r="O272" s="597">
        <v>238</v>
      </c>
    </row>
    <row r="273" spans="13:15">
      <c r="M273" s="597">
        <v>86</v>
      </c>
      <c r="N273" s="597">
        <v>121</v>
      </c>
      <c r="O273" s="597">
        <v>234</v>
      </c>
    </row>
    <row r="274" spans="13:15">
      <c r="M274" s="597">
        <v>87</v>
      </c>
      <c r="N274" s="597">
        <v>103</v>
      </c>
      <c r="O274" s="597">
        <v>218</v>
      </c>
    </row>
    <row r="275" spans="13:15">
      <c r="M275" s="597">
        <v>88</v>
      </c>
      <c r="N275" s="597">
        <v>76</v>
      </c>
      <c r="O275" s="597">
        <v>169</v>
      </c>
    </row>
    <row r="276" spans="13:15">
      <c r="M276" s="597">
        <v>89</v>
      </c>
      <c r="N276" s="597">
        <v>58</v>
      </c>
      <c r="O276" s="597">
        <v>178</v>
      </c>
    </row>
    <row r="277" spans="13:15">
      <c r="M277" s="597">
        <v>90</v>
      </c>
      <c r="N277" s="597">
        <v>42</v>
      </c>
      <c r="O277" s="597">
        <v>129</v>
      </c>
    </row>
    <row r="278" spans="13:15">
      <c r="M278" s="597">
        <v>91</v>
      </c>
      <c r="N278" s="597">
        <v>41</v>
      </c>
      <c r="O278" s="597">
        <v>103</v>
      </c>
    </row>
    <row r="279" spans="13:15">
      <c r="M279" s="597">
        <v>92</v>
      </c>
      <c r="N279" s="597">
        <v>41</v>
      </c>
      <c r="O279" s="597">
        <v>104</v>
      </c>
    </row>
    <row r="280" spans="13:15">
      <c r="M280" s="597">
        <v>93</v>
      </c>
      <c r="N280" s="597">
        <v>20</v>
      </c>
      <c r="O280" s="597">
        <v>83</v>
      </c>
    </row>
    <row r="281" spans="13:15">
      <c r="M281" s="597">
        <v>94</v>
      </c>
      <c r="N281" s="597">
        <v>18</v>
      </c>
      <c r="O281" s="597">
        <v>60</v>
      </c>
    </row>
    <row r="282" spans="13:15">
      <c r="M282" s="597">
        <v>95</v>
      </c>
      <c r="N282" s="597">
        <v>7</v>
      </c>
      <c r="O282" s="597">
        <v>54</v>
      </c>
    </row>
    <row r="283" spans="13:15">
      <c r="M283" s="597">
        <v>96</v>
      </c>
      <c r="N283" s="597">
        <v>10</v>
      </c>
      <c r="O283" s="597">
        <v>56</v>
      </c>
    </row>
    <row r="284" spans="13:15">
      <c r="M284" s="597">
        <v>97</v>
      </c>
      <c r="N284" s="597">
        <v>9</v>
      </c>
      <c r="O284" s="597">
        <v>23</v>
      </c>
    </row>
    <row r="285" spans="13:15">
      <c r="M285" s="597">
        <v>98</v>
      </c>
      <c r="N285" s="597" t="s">
        <v>143</v>
      </c>
      <c r="O285" s="597">
        <v>26</v>
      </c>
    </row>
    <row r="286" spans="13:15">
      <c r="M286" s="597">
        <v>99</v>
      </c>
      <c r="N286" s="597">
        <v>9</v>
      </c>
      <c r="O286" s="597">
        <v>27</v>
      </c>
    </row>
    <row r="287" spans="13:15">
      <c r="M287" s="597" t="s">
        <v>8</v>
      </c>
      <c r="N287" s="597">
        <v>10</v>
      </c>
      <c r="O287" s="597">
        <v>28</v>
      </c>
    </row>
    <row r="289" spans="13:21">
      <c r="N289" s="303">
        <f>SUM(N187:N288)</f>
        <v>54844</v>
      </c>
      <c r="O289" s="303">
        <f>SUM(O187:O288)</f>
        <v>58168</v>
      </c>
      <c r="P289" s="303">
        <f>N289+O289</f>
        <v>113012</v>
      </c>
      <c r="R289" s="311"/>
      <c r="S289" s="311"/>
      <c r="T289" s="311"/>
      <c r="U289" s="311"/>
    </row>
    <row r="290" spans="13:21">
      <c r="M290" s="303" t="s">
        <v>662</v>
      </c>
      <c r="N290" s="597">
        <v>627</v>
      </c>
      <c r="O290" s="597">
        <v>593</v>
      </c>
      <c r="P290" s="303">
        <f>N290+O290</f>
        <v>1220</v>
      </c>
      <c r="Q290" s="303" t="s">
        <v>665</v>
      </c>
      <c r="R290" s="311"/>
      <c r="S290" s="311"/>
      <c r="T290" s="311"/>
    </row>
    <row r="291" spans="13:21">
      <c r="R291" s="311"/>
      <c r="S291" s="311"/>
      <c r="T291" s="311"/>
    </row>
    <row r="292" spans="13:21">
      <c r="M292" s="303" t="s">
        <v>658</v>
      </c>
      <c r="N292" s="303">
        <f>SUM(N289:N290)</f>
        <v>55471</v>
      </c>
      <c r="O292" s="303">
        <f>SUM(O289:O290)</f>
        <v>58761</v>
      </c>
      <c r="P292" s="303">
        <f>SUM(P289:P290)</f>
        <v>114232</v>
      </c>
      <c r="R292" s="311"/>
      <c r="S292" s="311"/>
      <c r="T292" s="311"/>
    </row>
    <row r="293" spans="13:21">
      <c r="R293" s="311"/>
      <c r="S293" s="311"/>
      <c r="T293" s="311"/>
    </row>
    <row r="294" spans="13:21">
      <c r="M294" s="303" t="s">
        <v>664</v>
      </c>
      <c r="R294" s="311"/>
      <c r="S294" s="311"/>
      <c r="T294" s="311"/>
    </row>
    <row r="295" spans="13:21">
      <c r="R295" s="311"/>
      <c r="S295" s="311"/>
      <c r="T295" s="311"/>
    </row>
  </sheetData>
  <mergeCells count="19">
    <mergeCell ref="A215:B215"/>
    <mergeCell ref="I207:I208"/>
    <mergeCell ref="A187:B187"/>
    <mergeCell ref="C215:D215"/>
    <mergeCell ref="J28:K28"/>
    <mergeCell ref="J29:K29"/>
    <mergeCell ref="J207:J208"/>
    <mergeCell ref="J27:K27"/>
    <mergeCell ref="H239:I239"/>
    <mergeCell ref="J23:K23"/>
    <mergeCell ref="J26:K26"/>
    <mergeCell ref="J17:K17"/>
    <mergeCell ref="J18:K18"/>
    <mergeCell ref="J19:K19"/>
    <mergeCell ref="J20:K20"/>
    <mergeCell ref="J21:K21"/>
    <mergeCell ref="J22:K22"/>
    <mergeCell ref="J24:K24"/>
    <mergeCell ref="J25:K25"/>
  </mergeCells>
  <phoneticPr fontId="17"/>
  <pageMargins left="0.59055118110236227" right="0.59055118110236227" top="0.59055118110236227" bottom="0.59055118110236227" header="0.39370078740157483" footer="0.39370078740157483"/>
  <pageSetup paperSize="9" firstPageNumber="3" orientation="portrait" useFirstPageNumber="1" verticalDpi="300" r:id="rId1"/>
  <headerFooter scaleWithDoc="0" alignWithMargins="0">
    <oddFooter>&amp;C&amp;"ＭＳ 明朝,標準"－&amp;12&amp;P&amp;11－</oddFooter>
  </headerFooter>
  <rowBreaks count="3" manualBreakCount="3">
    <brk id="61" max="5" man="1"/>
    <brk id="122" max="5" man="1"/>
    <brk id="183"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S49"/>
  <sheetViews>
    <sheetView view="pageBreakPreview" zoomScale="85" zoomScaleNormal="120" zoomScaleSheetLayoutView="85" workbookViewId="0">
      <pane ySplit="6" topLeftCell="A7" activePane="bottomLeft" state="frozen"/>
      <selection activeCell="A6" sqref="A6"/>
      <selection pane="bottomLeft" activeCell="S5" sqref="S5"/>
    </sheetView>
  </sheetViews>
  <sheetFormatPr defaultRowHeight="17.100000000000001" customHeight="1"/>
  <cols>
    <col min="1" max="1" width="11.875" style="111" customWidth="1"/>
    <col min="2" max="4" width="11.25" style="666" customWidth="1"/>
    <col min="5" max="5" width="11.875" style="111" customWidth="1"/>
    <col min="6" max="8" width="11.25" style="666" customWidth="1"/>
    <col min="9" max="9" width="11.875" style="670" hidden="1" customWidth="1"/>
    <col min="10" max="12" width="11.25" style="666" hidden="1" customWidth="1"/>
    <col min="13" max="13" width="11.875" style="666" hidden="1" customWidth="1"/>
    <col min="14" max="16" width="11.25" style="666" hidden="1" customWidth="1"/>
    <col min="17" max="16384" width="9" style="666"/>
  </cols>
  <sheetData>
    <row r="1" spans="1:16" ht="5.0999999999999996" customHeight="1">
      <c r="A1" s="13"/>
      <c r="B1" s="665"/>
      <c r="C1" s="665"/>
      <c r="D1" s="665"/>
      <c r="E1" s="13"/>
      <c r="G1" s="665"/>
      <c r="H1" s="14"/>
      <c r="I1" s="13" t="s">
        <v>24</v>
      </c>
      <c r="J1" s="665"/>
      <c r="K1" s="665"/>
      <c r="L1" s="665"/>
      <c r="M1" s="13"/>
      <c r="O1" s="665"/>
      <c r="P1" s="14"/>
    </row>
    <row r="2" spans="1:16" ht="15" customHeight="1" thickBot="1">
      <c r="A2" s="13" t="s">
        <v>706</v>
      </c>
      <c r="B2" s="665"/>
      <c r="C2" s="665"/>
      <c r="D2" s="665"/>
      <c r="E2" s="13"/>
      <c r="G2" s="665"/>
      <c r="H2" s="14"/>
      <c r="I2" s="13"/>
      <c r="J2" s="665"/>
      <c r="K2" s="665"/>
      <c r="L2" s="665"/>
      <c r="M2" s="13"/>
      <c r="O2" s="665"/>
      <c r="P2" s="14" t="s">
        <v>25</v>
      </c>
    </row>
    <row r="3" spans="1:16" ht="24" customHeight="1">
      <c r="A3" s="641" t="s">
        <v>26</v>
      </c>
      <c r="B3" s="638" t="s">
        <v>27</v>
      </c>
      <c r="C3" s="638" t="s">
        <v>15</v>
      </c>
      <c r="D3" s="634" t="s">
        <v>16</v>
      </c>
      <c r="E3" s="638" t="s">
        <v>26</v>
      </c>
      <c r="F3" s="638" t="s">
        <v>27</v>
      </c>
      <c r="G3" s="638" t="s">
        <v>15</v>
      </c>
      <c r="H3" s="634" t="s">
        <v>16</v>
      </c>
      <c r="I3" s="634" t="s">
        <v>26</v>
      </c>
      <c r="J3" s="638" t="s">
        <v>27</v>
      </c>
      <c r="K3" s="638" t="s">
        <v>15</v>
      </c>
      <c r="L3" s="634" t="s">
        <v>16</v>
      </c>
      <c r="M3" s="638" t="s">
        <v>26</v>
      </c>
      <c r="N3" s="638" t="s">
        <v>27</v>
      </c>
      <c r="O3" s="638" t="s">
        <v>15</v>
      </c>
      <c r="P3" s="643" t="s">
        <v>16</v>
      </c>
    </row>
    <row r="4" spans="1:16" ht="7.5" customHeight="1">
      <c r="A4" s="207"/>
      <c r="B4" s="636"/>
      <c r="C4" s="218"/>
      <c r="D4" s="650"/>
      <c r="E4" s="649"/>
      <c r="F4" s="636"/>
      <c r="G4" s="218"/>
      <c r="H4" s="219"/>
      <c r="I4" s="651"/>
      <c r="J4" s="636"/>
      <c r="K4" s="218"/>
      <c r="L4" s="650"/>
      <c r="M4" s="649"/>
      <c r="N4" s="636"/>
      <c r="O4" s="218"/>
      <c r="P4" s="220"/>
    </row>
    <row r="5" spans="1:16" ht="16.5" customHeight="1">
      <c r="A5" s="208" t="s">
        <v>28</v>
      </c>
      <c r="B5" s="17">
        <f>SUM(C5:D5)</f>
        <v>114531</v>
      </c>
      <c r="C5" s="644">
        <f>C$12+C$19+C$26+C$33+C$40+C$47+G$12+G$19+G$26+G$33+G$40+G$47+K$12+K$19+K$26+K$33+K$40+K$47+O$12+O$19+O$26+O$28</f>
        <v>55824</v>
      </c>
      <c r="D5" s="644">
        <f>D$12+D$19+D$26+D$33+D$40+D$47+H$12+H$19+H$26+H$33+H$40+H$47+L$12+L$19+L$26+L$33+L$40+L$47+P$12+P$19+P$26+P$28</f>
        <v>58707</v>
      </c>
      <c r="E5" s="15"/>
      <c r="F5" s="15"/>
      <c r="G5" s="567"/>
      <c r="H5" s="571"/>
      <c r="I5" s="16"/>
      <c r="J5" s="15"/>
      <c r="K5" s="567"/>
      <c r="L5" s="571"/>
      <c r="M5" s="15"/>
      <c r="N5" s="15"/>
      <c r="O5" s="567"/>
      <c r="P5" s="199"/>
    </row>
    <row r="6" spans="1:16" ht="16.5" customHeight="1">
      <c r="A6" s="208"/>
      <c r="B6" s="17"/>
      <c r="C6" s="644"/>
      <c r="D6" s="572"/>
      <c r="E6" s="15"/>
      <c r="F6" s="15"/>
      <c r="G6" s="567"/>
      <c r="H6" s="571"/>
      <c r="I6" s="16"/>
      <c r="J6" s="15"/>
      <c r="K6" s="567"/>
      <c r="L6" s="571"/>
      <c r="M6" s="15"/>
      <c r="N6" s="15"/>
      <c r="O6" s="567"/>
      <c r="P6" s="199"/>
    </row>
    <row r="7" spans="1:16" ht="16.5" customHeight="1">
      <c r="A7" s="209" t="s">
        <v>29</v>
      </c>
      <c r="B7" s="17">
        <f>SUM(C7:D7)</f>
        <v>1215</v>
      </c>
      <c r="C7" s="644">
        <v>631</v>
      </c>
      <c r="D7" s="572">
        <v>584</v>
      </c>
      <c r="E7" s="649">
        <v>30</v>
      </c>
      <c r="F7" s="17">
        <f>SUM(G7:H7)</f>
        <v>1314</v>
      </c>
      <c r="G7" s="644">
        <v>661</v>
      </c>
      <c r="H7" s="572">
        <v>653</v>
      </c>
      <c r="I7" s="651">
        <v>60</v>
      </c>
      <c r="J7" s="17">
        <f>K7+L7</f>
        <v>1339</v>
      </c>
      <c r="K7" s="644">
        <v>668</v>
      </c>
      <c r="L7" s="572">
        <v>671</v>
      </c>
      <c r="M7" s="649">
        <v>90</v>
      </c>
      <c r="N7" s="17">
        <f>O7+P7</f>
        <v>246</v>
      </c>
      <c r="O7" s="644">
        <v>75</v>
      </c>
      <c r="P7" s="573">
        <v>171</v>
      </c>
    </row>
    <row r="8" spans="1:16" ht="16.5" customHeight="1">
      <c r="A8" s="209" t="s">
        <v>30</v>
      </c>
      <c r="B8" s="17">
        <f t="shared" ref="B8:B11" si="0">SUM(C8:D8)</f>
        <v>1280</v>
      </c>
      <c r="C8" s="644">
        <v>658</v>
      </c>
      <c r="D8" s="572">
        <v>622</v>
      </c>
      <c r="E8" s="649">
        <v>31</v>
      </c>
      <c r="F8" s="17">
        <f t="shared" ref="F8:F11" si="1">SUM(G8:H8)</f>
        <v>1351</v>
      </c>
      <c r="G8" s="644">
        <v>674</v>
      </c>
      <c r="H8" s="572">
        <v>677</v>
      </c>
      <c r="I8" s="651">
        <v>61</v>
      </c>
      <c r="J8" s="17">
        <f>K8+L8</f>
        <v>1236</v>
      </c>
      <c r="K8" s="644">
        <v>623</v>
      </c>
      <c r="L8" s="572">
        <v>613</v>
      </c>
      <c r="M8" s="649">
        <v>91</v>
      </c>
      <c r="N8" s="17">
        <f>O8+P8</f>
        <v>186</v>
      </c>
      <c r="O8" s="644">
        <v>48</v>
      </c>
      <c r="P8" s="573">
        <v>138</v>
      </c>
    </row>
    <row r="9" spans="1:16" ht="16.5" customHeight="1">
      <c r="A9" s="209" t="s">
        <v>31</v>
      </c>
      <c r="B9" s="17">
        <f t="shared" si="0"/>
        <v>1302</v>
      </c>
      <c r="C9" s="644">
        <v>652</v>
      </c>
      <c r="D9" s="572">
        <v>650</v>
      </c>
      <c r="E9" s="649">
        <v>32</v>
      </c>
      <c r="F9" s="17">
        <f t="shared" si="1"/>
        <v>1509</v>
      </c>
      <c r="G9" s="644">
        <v>760</v>
      </c>
      <c r="H9" s="572">
        <v>749</v>
      </c>
      <c r="I9" s="651">
        <v>62</v>
      </c>
      <c r="J9" s="17">
        <f>K9+L9</f>
        <v>1254</v>
      </c>
      <c r="K9" s="644">
        <v>602</v>
      </c>
      <c r="L9" s="572">
        <v>652</v>
      </c>
      <c r="M9" s="649">
        <v>92</v>
      </c>
      <c r="N9" s="17">
        <f>O9+P9</f>
        <v>145</v>
      </c>
      <c r="O9" s="644">
        <v>34</v>
      </c>
      <c r="P9" s="573">
        <v>111</v>
      </c>
    </row>
    <row r="10" spans="1:16" ht="16.5" customHeight="1">
      <c r="A10" s="209" t="s">
        <v>32</v>
      </c>
      <c r="B10" s="17">
        <f t="shared" si="0"/>
        <v>1313</v>
      </c>
      <c r="C10" s="644">
        <v>659</v>
      </c>
      <c r="D10" s="572">
        <v>654</v>
      </c>
      <c r="E10" s="649">
        <v>33</v>
      </c>
      <c r="F10" s="17">
        <f t="shared" si="1"/>
        <v>1465</v>
      </c>
      <c r="G10" s="644">
        <v>703</v>
      </c>
      <c r="H10" s="572">
        <v>762</v>
      </c>
      <c r="I10" s="651">
        <v>63</v>
      </c>
      <c r="J10" s="17">
        <f>K10+L10</f>
        <v>1300</v>
      </c>
      <c r="K10" s="644">
        <v>635</v>
      </c>
      <c r="L10" s="572">
        <v>665</v>
      </c>
      <c r="M10" s="649">
        <v>93</v>
      </c>
      <c r="N10" s="17">
        <f>O10+P10</f>
        <v>119</v>
      </c>
      <c r="O10" s="644">
        <v>20</v>
      </c>
      <c r="P10" s="573">
        <v>99</v>
      </c>
    </row>
    <row r="11" spans="1:16" ht="16.5" customHeight="1">
      <c r="A11" s="209" t="s">
        <v>33</v>
      </c>
      <c r="B11" s="17">
        <f t="shared" si="0"/>
        <v>1291</v>
      </c>
      <c r="C11" s="644">
        <v>655</v>
      </c>
      <c r="D11" s="572">
        <v>636</v>
      </c>
      <c r="E11" s="649">
        <v>34</v>
      </c>
      <c r="F11" s="17">
        <f t="shared" si="1"/>
        <v>1550</v>
      </c>
      <c r="G11" s="644">
        <v>760</v>
      </c>
      <c r="H11" s="572">
        <v>790</v>
      </c>
      <c r="I11" s="651">
        <v>64</v>
      </c>
      <c r="J11" s="17">
        <f>K11+L11</f>
        <v>1343</v>
      </c>
      <c r="K11" s="644">
        <v>624</v>
      </c>
      <c r="L11" s="572">
        <v>719</v>
      </c>
      <c r="M11" s="649">
        <v>94</v>
      </c>
      <c r="N11" s="17">
        <f>O11+P11</f>
        <v>91</v>
      </c>
      <c r="O11" s="644">
        <v>23</v>
      </c>
      <c r="P11" s="573">
        <v>68</v>
      </c>
    </row>
    <row r="12" spans="1:16" ht="16.5" customHeight="1">
      <c r="A12" s="210" t="s">
        <v>34</v>
      </c>
      <c r="B12" s="17">
        <f>SUM(B7:B11)</f>
        <v>6401</v>
      </c>
      <c r="C12" s="644">
        <f>SUM(C7:C11)</f>
        <v>3255</v>
      </c>
      <c r="D12" s="644">
        <f>SUM(D7:D11)</f>
        <v>3146</v>
      </c>
      <c r="E12" s="15" t="s">
        <v>35</v>
      </c>
      <c r="F12" s="17">
        <f>SUM(F7:F11)</f>
        <v>7189</v>
      </c>
      <c r="G12" s="644">
        <f>SUM(G7:G11)</f>
        <v>3558</v>
      </c>
      <c r="H12" s="572">
        <f>SUM(H7:H11)</f>
        <v>3631</v>
      </c>
      <c r="I12" s="16" t="s">
        <v>36</v>
      </c>
      <c r="J12" s="17">
        <f>SUM(J7:J11)</f>
        <v>6472</v>
      </c>
      <c r="K12" s="644">
        <f>SUM(K7:K11)</f>
        <v>3152</v>
      </c>
      <c r="L12" s="644">
        <f>SUM(L7:L11)</f>
        <v>3320</v>
      </c>
      <c r="M12" s="15" t="s">
        <v>37</v>
      </c>
      <c r="N12" s="17">
        <f>SUM(N7:N11)</f>
        <v>787</v>
      </c>
      <c r="O12" s="644">
        <f>SUM(O7:O11)</f>
        <v>200</v>
      </c>
      <c r="P12" s="573">
        <f>SUM(P7:P11)</f>
        <v>587</v>
      </c>
    </row>
    <row r="13" spans="1:16" ht="16.5" customHeight="1">
      <c r="A13" s="210"/>
      <c r="B13" s="17"/>
      <c r="C13" s="644"/>
      <c r="D13" s="572"/>
      <c r="E13" s="15"/>
      <c r="F13" s="17"/>
      <c r="G13" s="644"/>
      <c r="H13" s="572"/>
      <c r="I13" s="15"/>
      <c r="J13" s="17"/>
      <c r="K13" s="644"/>
      <c r="L13" s="572"/>
      <c r="M13" s="15"/>
      <c r="N13" s="17"/>
      <c r="O13" s="644"/>
      <c r="P13" s="573"/>
    </row>
    <row r="14" spans="1:16" ht="16.5" customHeight="1">
      <c r="A14" s="209" t="s">
        <v>38</v>
      </c>
      <c r="B14" s="17">
        <f>SUM(C14:D14)</f>
        <v>1316</v>
      </c>
      <c r="C14" s="644">
        <v>673</v>
      </c>
      <c r="D14" s="572">
        <v>643</v>
      </c>
      <c r="E14" s="649">
        <v>35</v>
      </c>
      <c r="F14" s="17">
        <f>SUM(G14:H14)</f>
        <v>1475</v>
      </c>
      <c r="G14" s="644">
        <v>733</v>
      </c>
      <c r="H14" s="572">
        <v>742</v>
      </c>
      <c r="I14" s="649">
        <v>65</v>
      </c>
      <c r="J14" s="17">
        <f>K14+L14</f>
        <v>1348</v>
      </c>
      <c r="K14" s="644">
        <v>645</v>
      </c>
      <c r="L14" s="572">
        <v>703</v>
      </c>
      <c r="M14" s="649">
        <v>95</v>
      </c>
      <c r="N14" s="17">
        <f>O14+P14</f>
        <v>78</v>
      </c>
      <c r="O14" s="644">
        <v>23</v>
      </c>
      <c r="P14" s="573">
        <v>55</v>
      </c>
    </row>
    <row r="15" spans="1:16" ht="16.5" customHeight="1">
      <c r="A15" s="209" t="s">
        <v>39</v>
      </c>
      <c r="B15" s="17">
        <f t="shared" ref="B15:B18" si="2">SUM(C15:D15)</f>
        <v>1398</v>
      </c>
      <c r="C15" s="644">
        <v>698</v>
      </c>
      <c r="D15" s="572">
        <v>700</v>
      </c>
      <c r="E15" s="649">
        <v>36</v>
      </c>
      <c r="F15" s="17">
        <f t="shared" ref="F15:F18" si="3">SUM(G15:H15)</f>
        <v>1450</v>
      </c>
      <c r="G15" s="644">
        <v>719</v>
      </c>
      <c r="H15" s="572">
        <v>731</v>
      </c>
      <c r="I15" s="649">
        <v>66</v>
      </c>
      <c r="J15" s="17">
        <f>K15+L15</f>
        <v>1393</v>
      </c>
      <c r="K15" s="644">
        <v>669</v>
      </c>
      <c r="L15" s="572">
        <v>724</v>
      </c>
      <c r="M15" s="649">
        <v>96</v>
      </c>
      <c r="N15" s="17">
        <f>O15+P15</f>
        <v>74</v>
      </c>
      <c r="O15" s="644">
        <v>16</v>
      </c>
      <c r="P15" s="573">
        <v>58</v>
      </c>
    </row>
    <row r="16" spans="1:16" ht="16.5" customHeight="1">
      <c r="A16" s="209" t="s">
        <v>40</v>
      </c>
      <c r="B16" s="17">
        <f t="shared" si="2"/>
        <v>1391</v>
      </c>
      <c r="C16" s="644">
        <v>694</v>
      </c>
      <c r="D16" s="572">
        <v>697</v>
      </c>
      <c r="E16" s="649">
        <v>37</v>
      </c>
      <c r="F16" s="17">
        <f t="shared" si="3"/>
        <v>1462</v>
      </c>
      <c r="G16" s="644">
        <v>702</v>
      </c>
      <c r="H16" s="572">
        <v>760</v>
      </c>
      <c r="I16" s="649">
        <v>67</v>
      </c>
      <c r="J16" s="17">
        <f>K16+L16</f>
        <v>1443</v>
      </c>
      <c r="K16" s="644">
        <v>653</v>
      </c>
      <c r="L16" s="572">
        <v>790</v>
      </c>
      <c r="M16" s="649">
        <v>97</v>
      </c>
      <c r="N16" s="17">
        <f>O16+P16</f>
        <v>42</v>
      </c>
      <c r="O16" s="644">
        <v>6</v>
      </c>
      <c r="P16" s="573">
        <v>36</v>
      </c>
    </row>
    <row r="17" spans="1:16" ht="16.5" customHeight="1">
      <c r="A17" s="209" t="s">
        <v>41</v>
      </c>
      <c r="B17" s="17">
        <f t="shared" si="2"/>
        <v>1349</v>
      </c>
      <c r="C17" s="644">
        <v>685</v>
      </c>
      <c r="D17" s="572">
        <v>664</v>
      </c>
      <c r="E17" s="649">
        <v>38</v>
      </c>
      <c r="F17" s="17">
        <f t="shared" si="3"/>
        <v>1509</v>
      </c>
      <c r="G17" s="644">
        <v>720</v>
      </c>
      <c r="H17" s="572">
        <v>789</v>
      </c>
      <c r="I17" s="649">
        <v>68</v>
      </c>
      <c r="J17" s="17">
        <f>K17+L17</f>
        <v>1387</v>
      </c>
      <c r="K17" s="644">
        <v>684</v>
      </c>
      <c r="L17" s="572">
        <v>703</v>
      </c>
      <c r="M17" s="649">
        <v>98</v>
      </c>
      <c r="N17" s="17">
        <f>O17+P17</f>
        <v>31</v>
      </c>
      <c r="O17" s="644">
        <v>3</v>
      </c>
      <c r="P17" s="573">
        <v>28</v>
      </c>
    </row>
    <row r="18" spans="1:16" ht="16.5" customHeight="1">
      <c r="A18" s="209" t="s">
        <v>42</v>
      </c>
      <c r="B18" s="17">
        <f t="shared" si="2"/>
        <v>1376</v>
      </c>
      <c r="C18" s="644">
        <v>725</v>
      </c>
      <c r="D18" s="572">
        <v>651</v>
      </c>
      <c r="E18" s="649">
        <v>39</v>
      </c>
      <c r="F18" s="17">
        <f t="shared" si="3"/>
        <v>1529</v>
      </c>
      <c r="G18" s="644">
        <v>748</v>
      </c>
      <c r="H18" s="572">
        <v>781</v>
      </c>
      <c r="I18" s="649">
        <v>69</v>
      </c>
      <c r="J18" s="17">
        <f>K18+L18</f>
        <v>1297</v>
      </c>
      <c r="K18" s="644">
        <v>634</v>
      </c>
      <c r="L18" s="572">
        <v>663</v>
      </c>
      <c r="M18" s="649">
        <v>99</v>
      </c>
      <c r="N18" s="17">
        <f>O18+P18</f>
        <v>33</v>
      </c>
      <c r="O18" s="644">
        <v>6</v>
      </c>
      <c r="P18" s="573">
        <v>27</v>
      </c>
    </row>
    <row r="19" spans="1:16" ht="16.5" customHeight="1">
      <c r="A19" s="210" t="s">
        <v>43</v>
      </c>
      <c r="B19" s="17">
        <f>SUM(B14:B18)</f>
        <v>6830</v>
      </c>
      <c r="C19" s="644">
        <f>SUM(C14:C18)</f>
        <v>3475</v>
      </c>
      <c r="D19" s="644">
        <f>SUM(D14:D18)</f>
        <v>3355</v>
      </c>
      <c r="E19" s="15" t="s">
        <v>44</v>
      </c>
      <c r="F19" s="17">
        <f>SUM(F14:F18)</f>
        <v>7425</v>
      </c>
      <c r="G19" s="644">
        <f>SUM(G14:G18)</f>
        <v>3622</v>
      </c>
      <c r="H19" s="572">
        <f>SUM(H14:H18)</f>
        <v>3803</v>
      </c>
      <c r="I19" s="15" t="s">
        <v>45</v>
      </c>
      <c r="J19" s="17">
        <f>SUM(J14:J18)</f>
        <v>6868</v>
      </c>
      <c r="K19" s="644">
        <f>SUM(K14:K18)</f>
        <v>3285</v>
      </c>
      <c r="L19" s="644">
        <f>SUM(L14:L18)</f>
        <v>3583</v>
      </c>
      <c r="M19" s="15" t="s">
        <v>46</v>
      </c>
      <c r="N19" s="17">
        <f>SUM(N14:N18)</f>
        <v>258</v>
      </c>
      <c r="O19" s="644">
        <f>SUM(O14:O18)</f>
        <v>54</v>
      </c>
      <c r="P19" s="573">
        <f>SUM(P14:P18)</f>
        <v>204</v>
      </c>
    </row>
    <row r="20" spans="1:16" ht="16.5" customHeight="1">
      <c r="A20" s="208"/>
      <c r="B20" s="17"/>
      <c r="C20" s="644"/>
      <c r="D20" s="572"/>
      <c r="E20" s="15"/>
      <c r="F20" s="17"/>
      <c r="G20" s="644"/>
      <c r="H20" s="572"/>
      <c r="I20" s="15"/>
      <c r="J20" s="17"/>
      <c r="K20" s="644"/>
      <c r="L20" s="572"/>
      <c r="M20" s="15"/>
      <c r="N20" s="17"/>
      <c r="O20" s="644"/>
      <c r="P20" s="573"/>
    </row>
    <row r="21" spans="1:16" ht="16.5" customHeight="1">
      <c r="A21" s="207">
        <v>10</v>
      </c>
      <c r="B21" s="17">
        <f>SUM(C21:D21)</f>
        <v>1393</v>
      </c>
      <c r="C21" s="644">
        <v>683</v>
      </c>
      <c r="D21" s="572">
        <v>710</v>
      </c>
      <c r="E21" s="649">
        <v>40</v>
      </c>
      <c r="F21" s="17">
        <f>SUM(G21:H21)</f>
        <v>1630</v>
      </c>
      <c r="G21" s="644">
        <v>810</v>
      </c>
      <c r="H21" s="572">
        <v>820</v>
      </c>
      <c r="I21" s="649">
        <v>70</v>
      </c>
      <c r="J21" s="17">
        <f>K21+L21</f>
        <v>1311</v>
      </c>
      <c r="K21" s="644">
        <v>644</v>
      </c>
      <c r="L21" s="572">
        <v>667</v>
      </c>
      <c r="M21" s="649">
        <v>100</v>
      </c>
      <c r="N21" s="17">
        <f>O21+P21</f>
        <v>11</v>
      </c>
      <c r="O21" s="644">
        <v>0</v>
      </c>
      <c r="P21" s="573">
        <v>11</v>
      </c>
    </row>
    <row r="22" spans="1:16" ht="16.5" customHeight="1">
      <c r="A22" s="207">
        <v>11</v>
      </c>
      <c r="B22" s="17">
        <f t="shared" ref="B22:B25" si="4">SUM(C22:D22)</f>
        <v>1405</v>
      </c>
      <c r="C22" s="644">
        <v>727</v>
      </c>
      <c r="D22" s="572">
        <v>678</v>
      </c>
      <c r="E22" s="649">
        <v>41</v>
      </c>
      <c r="F22" s="17">
        <f t="shared" ref="F22:F25" si="5">SUM(G22:H22)</f>
        <v>1581</v>
      </c>
      <c r="G22" s="644">
        <v>774</v>
      </c>
      <c r="H22" s="572">
        <v>807</v>
      </c>
      <c r="I22" s="649">
        <v>71</v>
      </c>
      <c r="J22" s="17">
        <f>K22+L22</f>
        <v>1242</v>
      </c>
      <c r="K22" s="644">
        <v>604</v>
      </c>
      <c r="L22" s="572">
        <v>638</v>
      </c>
      <c r="M22" s="649">
        <v>101</v>
      </c>
      <c r="N22" s="17">
        <f>O22+P22</f>
        <v>15</v>
      </c>
      <c r="O22" s="644">
        <v>1</v>
      </c>
      <c r="P22" s="573">
        <v>14</v>
      </c>
    </row>
    <row r="23" spans="1:16" ht="16.5" customHeight="1">
      <c r="A23" s="207">
        <v>12</v>
      </c>
      <c r="B23" s="17">
        <f t="shared" si="4"/>
        <v>1441</v>
      </c>
      <c r="C23" s="644">
        <v>739</v>
      </c>
      <c r="D23" s="572">
        <v>702</v>
      </c>
      <c r="E23" s="649">
        <v>42</v>
      </c>
      <c r="F23" s="17">
        <f t="shared" si="5"/>
        <v>1650</v>
      </c>
      <c r="G23" s="644">
        <v>812</v>
      </c>
      <c r="H23" s="572">
        <v>838</v>
      </c>
      <c r="I23" s="649">
        <v>72</v>
      </c>
      <c r="J23" s="17">
        <f>K23+L23</f>
        <v>594</v>
      </c>
      <c r="K23" s="644">
        <v>287</v>
      </c>
      <c r="L23" s="572">
        <v>307</v>
      </c>
      <c r="M23" s="649">
        <v>102</v>
      </c>
      <c r="N23" s="17">
        <f>O23+P23</f>
        <v>10</v>
      </c>
      <c r="O23" s="644">
        <v>1</v>
      </c>
      <c r="P23" s="573">
        <v>9</v>
      </c>
    </row>
    <row r="24" spans="1:16" ht="16.5" customHeight="1">
      <c r="A24" s="207">
        <v>13</v>
      </c>
      <c r="B24" s="17">
        <f t="shared" si="4"/>
        <v>1294</v>
      </c>
      <c r="C24" s="644">
        <v>670</v>
      </c>
      <c r="D24" s="572">
        <v>624</v>
      </c>
      <c r="E24" s="649">
        <v>43</v>
      </c>
      <c r="F24" s="17">
        <f t="shared" si="5"/>
        <v>1761</v>
      </c>
      <c r="G24" s="644">
        <v>879</v>
      </c>
      <c r="H24" s="572">
        <v>882</v>
      </c>
      <c r="I24" s="649">
        <v>73</v>
      </c>
      <c r="J24" s="17">
        <f>K24+L24</f>
        <v>550</v>
      </c>
      <c r="K24" s="644">
        <v>256</v>
      </c>
      <c r="L24" s="572">
        <v>294</v>
      </c>
      <c r="M24" s="649">
        <v>103</v>
      </c>
      <c r="N24" s="17">
        <f>O24+P24</f>
        <v>2</v>
      </c>
      <c r="O24" s="644">
        <v>1</v>
      </c>
      <c r="P24" s="573">
        <v>1</v>
      </c>
    </row>
    <row r="25" spans="1:16" ht="16.5" customHeight="1">
      <c r="A25" s="207">
        <v>14</v>
      </c>
      <c r="B25" s="17">
        <f t="shared" si="4"/>
        <v>1383</v>
      </c>
      <c r="C25" s="644">
        <v>719</v>
      </c>
      <c r="D25" s="572">
        <v>664</v>
      </c>
      <c r="E25" s="649">
        <v>44</v>
      </c>
      <c r="F25" s="17">
        <f t="shared" si="5"/>
        <v>1902</v>
      </c>
      <c r="G25" s="644">
        <v>940</v>
      </c>
      <c r="H25" s="572">
        <v>962</v>
      </c>
      <c r="I25" s="649">
        <v>74</v>
      </c>
      <c r="J25" s="17">
        <f>K25+L25</f>
        <v>771</v>
      </c>
      <c r="K25" s="644">
        <v>351</v>
      </c>
      <c r="L25" s="572">
        <v>420</v>
      </c>
      <c r="M25" s="649">
        <v>104</v>
      </c>
      <c r="N25" s="17">
        <f>O25+P25</f>
        <v>4</v>
      </c>
      <c r="O25" s="574">
        <v>2</v>
      </c>
      <c r="P25" s="573">
        <v>2</v>
      </c>
    </row>
    <row r="26" spans="1:16" ht="16.5" customHeight="1">
      <c r="A26" s="208" t="s">
        <v>47</v>
      </c>
      <c r="B26" s="17">
        <f>SUM(B21:B25)</f>
        <v>6916</v>
      </c>
      <c r="C26" s="644">
        <f>SUM(C21:C25)</f>
        <v>3538</v>
      </c>
      <c r="D26" s="644">
        <f>SUM(D21:D25)</f>
        <v>3378</v>
      </c>
      <c r="E26" s="15" t="s">
        <v>48</v>
      </c>
      <c r="F26" s="17">
        <f>SUM(F21:F25)</f>
        <v>8524</v>
      </c>
      <c r="G26" s="644">
        <f>SUM(G21:G25)</f>
        <v>4215</v>
      </c>
      <c r="H26" s="572">
        <f>SUM(H21:H25)</f>
        <v>4309</v>
      </c>
      <c r="I26" s="16" t="s">
        <v>49</v>
      </c>
      <c r="J26" s="17">
        <f>SUM(J21:J25)</f>
        <v>4468</v>
      </c>
      <c r="K26" s="644">
        <f>SUM(K21:K25)</f>
        <v>2142</v>
      </c>
      <c r="L26" s="644">
        <f>SUM(L21:L25)</f>
        <v>2326</v>
      </c>
      <c r="M26" s="15" t="s">
        <v>50</v>
      </c>
      <c r="N26" s="17">
        <f>SUM(N21:N25)</f>
        <v>42</v>
      </c>
      <c r="O26" s="644">
        <f>SUM(O21:O25)</f>
        <v>5</v>
      </c>
      <c r="P26" s="573">
        <f>SUM(P21:P25)</f>
        <v>37</v>
      </c>
    </row>
    <row r="27" spans="1:16" ht="16.5" customHeight="1">
      <c r="A27" s="208"/>
      <c r="B27" s="17"/>
      <c r="C27" s="644"/>
      <c r="D27" s="572"/>
      <c r="E27" s="15"/>
      <c r="F27" s="17"/>
      <c r="G27" s="644"/>
      <c r="H27" s="572"/>
      <c r="I27" s="15"/>
      <c r="J27" s="17"/>
      <c r="K27" s="644"/>
      <c r="L27" s="572"/>
      <c r="M27" s="15"/>
      <c r="N27" s="17"/>
      <c r="O27" s="644"/>
      <c r="P27" s="573"/>
    </row>
    <row r="28" spans="1:16" ht="16.5" customHeight="1">
      <c r="A28" s="207">
        <v>15</v>
      </c>
      <c r="B28" s="17">
        <f>SUM(C28:D28)</f>
        <v>1410</v>
      </c>
      <c r="C28" s="644">
        <v>731</v>
      </c>
      <c r="D28" s="572">
        <v>679</v>
      </c>
      <c r="E28" s="649">
        <v>45</v>
      </c>
      <c r="F28" s="17">
        <f>SUM(G28:H28)</f>
        <v>1899</v>
      </c>
      <c r="G28" s="644">
        <v>908</v>
      </c>
      <c r="H28" s="572">
        <v>991</v>
      </c>
      <c r="I28" s="649">
        <v>75</v>
      </c>
      <c r="J28" s="17">
        <f>K28+L28</f>
        <v>845</v>
      </c>
      <c r="K28" s="644">
        <v>383</v>
      </c>
      <c r="L28" s="572">
        <v>462</v>
      </c>
      <c r="M28" s="15" t="s">
        <v>51</v>
      </c>
      <c r="N28" s="17">
        <f>SUM(O28:P28)</f>
        <v>5</v>
      </c>
      <c r="O28" s="671">
        <v>0</v>
      </c>
      <c r="P28" s="573">
        <v>5</v>
      </c>
    </row>
    <row r="29" spans="1:16" ht="16.5" customHeight="1">
      <c r="A29" s="207">
        <v>16</v>
      </c>
      <c r="B29" s="17">
        <f t="shared" ref="B29:B32" si="6">SUM(C29:D29)</f>
        <v>1412</v>
      </c>
      <c r="C29" s="644">
        <v>734</v>
      </c>
      <c r="D29" s="572">
        <v>678</v>
      </c>
      <c r="E29" s="649">
        <v>46</v>
      </c>
      <c r="F29" s="17">
        <f t="shared" ref="F29:F32" si="7">SUM(G29:H29)</f>
        <v>1808</v>
      </c>
      <c r="G29" s="644">
        <v>920</v>
      </c>
      <c r="H29" s="572">
        <v>888</v>
      </c>
      <c r="I29" s="649">
        <v>76</v>
      </c>
      <c r="J29" s="17">
        <f>K29+L29</f>
        <v>800</v>
      </c>
      <c r="K29" s="644">
        <v>364</v>
      </c>
      <c r="L29" s="572">
        <v>436</v>
      </c>
      <c r="M29" s="15"/>
      <c r="N29" s="17"/>
      <c r="O29" s="644"/>
      <c r="P29" s="573"/>
    </row>
    <row r="30" spans="1:16" ht="16.5" customHeight="1">
      <c r="A30" s="207">
        <v>17</v>
      </c>
      <c r="B30" s="17">
        <f t="shared" si="6"/>
        <v>1471</v>
      </c>
      <c r="C30" s="644">
        <v>739</v>
      </c>
      <c r="D30" s="572">
        <v>732</v>
      </c>
      <c r="E30" s="649">
        <v>47</v>
      </c>
      <c r="F30" s="17">
        <f t="shared" si="7"/>
        <v>1770</v>
      </c>
      <c r="G30" s="644">
        <v>853</v>
      </c>
      <c r="H30" s="572">
        <v>917</v>
      </c>
      <c r="I30" s="649">
        <v>77</v>
      </c>
      <c r="J30" s="17">
        <f>K30+L30</f>
        <v>924</v>
      </c>
      <c r="K30" s="644">
        <v>406</v>
      </c>
      <c r="L30" s="572">
        <v>518</v>
      </c>
      <c r="M30" s="15"/>
      <c r="N30" s="17"/>
      <c r="O30" s="644"/>
      <c r="P30" s="573"/>
    </row>
    <row r="31" spans="1:16" ht="16.5" customHeight="1">
      <c r="A31" s="207">
        <v>18</v>
      </c>
      <c r="B31" s="17">
        <f t="shared" si="6"/>
        <v>1388</v>
      </c>
      <c r="C31" s="644">
        <v>683</v>
      </c>
      <c r="D31" s="572">
        <v>705</v>
      </c>
      <c r="E31" s="649">
        <v>48</v>
      </c>
      <c r="F31" s="17">
        <f t="shared" si="7"/>
        <v>1670</v>
      </c>
      <c r="G31" s="644">
        <v>789</v>
      </c>
      <c r="H31" s="572">
        <v>881</v>
      </c>
      <c r="I31" s="649">
        <v>78</v>
      </c>
      <c r="J31" s="17">
        <f>K31+L31</f>
        <v>852</v>
      </c>
      <c r="K31" s="644">
        <v>392</v>
      </c>
      <c r="L31" s="572">
        <v>460</v>
      </c>
      <c r="M31" s="15" t="s">
        <v>52</v>
      </c>
      <c r="N31" s="17"/>
      <c r="O31" s="644"/>
      <c r="P31" s="573"/>
    </row>
    <row r="32" spans="1:16" ht="16.5" customHeight="1">
      <c r="A32" s="207">
        <v>19</v>
      </c>
      <c r="B32" s="17">
        <f t="shared" si="6"/>
        <v>1328</v>
      </c>
      <c r="C32" s="644">
        <v>672</v>
      </c>
      <c r="D32" s="572">
        <v>656</v>
      </c>
      <c r="E32" s="649">
        <v>49</v>
      </c>
      <c r="F32" s="17">
        <f t="shared" si="7"/>
        <v>1659</v>
      </c>
      <c r="G32" s="644">
        <v>840</v>
      </c>
      <c r="H32" s="572">
        <v>819</v>
      </c>
      <c r="I32" s="649">
        <v>79</v>
      </c>
      <c r="J32" s="17">
        <f>K32+L32</f>
        <v>790</v>
      </c>
      <c r="K32" s="644">
        <v>354</v>
      </c>
      <c r="L32" s="572">
        <v>436</v>
      </c>
      <c r="M32" s="15" t="s">
        <v>53</v>
      </c>
      <c r="N32" s="17">
        <f>SUM(O32:P32)</f>
        <v>87375</v>
      </c>
      <c r="O32" s="644">
        <f>SUM(C40+C47+G12+G19+G26+G33+G40+G47+K12+K19+K26+K33+K40+K47+O12+O19+O26+O28)</f>
        <v>41997</v>
      </c>
      <c r="P32" s="573">
        <f>SUM(D40+D47+H12+H19+H26+H33+H40+H47+L12+L19+L26+L33+L40+L47+P12+P19+P26+P28)</f>
        <v>45378</v>
      </c>
    </row>
    <row r="33" spans="1:19" ht="16.5" customHeight="1">
      <c r="A33" s="208" t="s">
        <v>54</v>
      </c>
      <c r="B33" s="17">
        <f>SUM(B28:B32)</f>
        <v>7009</v>
      </c>
      <c r="C33" s="644">
        <f>SUM(C28:C32)</f>
        <v>3559</v>
      </c>
      <c r="D33" s="644">
        <f>SUM(D28:D32)</f>
        <v>3450</v>
      </c>
      <c r="E33" s="15" t="s">
        <v>55</v>
      </c>
      <c r="F33" s="17">
        <f>SUM(F28:F32)</f>
        <v>8806</v>
      </c>
      <c r="G33" s="644">
        <f>SUM(G28:G32)</f>
        <v>4310</v>
      </c>
      <c r="H33" s="572">
        <f>SUM(H28:H32)</f>
        <v>4496</v>
      </c>
      <c r="I33" s="15" t="s">
        <v>56</v>
      </c>
      <c r="J33" s="17">
        <f>SUM(J28:J32)</f>
        <v>4211</v>
      </c>
      <c r="K33" s="644">
        <f>SUM(K28:K32)</f>
        <v>1899</v>
      </c>
      <c r="L33" s="644">
        <f>SUM(L28:L32)</f>
        <v>2312</v>
      </c>
      <c r="M33" s="15" t="s">
        <v>57</v>
      </c>
      <c r="N33" s="17">
        <f>SUM(O33:P33)</f>
        <v>51588</v>
      </c>
      <c r="O33" s="644">
        <f>SUM(C33+C40+C47+G12+G19+G26+G33)</f>
        <v>25692</v>
      </c>
      <c r="P33" s="573">
        <f>SUM(D33+D40+D47+H12+H19+H26+H33)</f>
        <v>25896</v>
      </c>
    </row>
    <row r="34" spans="1:19" ht="16.5" customHeight="1">
      <c r="A34" s="208"/>
      <c r="B34" s="17"/>
      <c r="C34" s="644"/>
      <c r="D34" s="572"/>
      <c r="E34" s="15"/>
      <c r="F34" s="17"/>
      <c r="G34" s="644"/>
      <c r="H34" s="572"/>
      <c r="I34" s="15"/>
      <c r="J34" s="17"/>
      <c r="K34" s="644"/>
      <c r="L34" s="572"/>
      <c r="M34" s="15" t="s">
        <v>58</v>
      </c>
      <c r="N34" s="17">
        <f>SUM(O34:P34)</f>
        <v>28250</v>
      </c>
      <c r="O34" s="644">
        <f>SUM(K12+K19+K26+K33+K40+K47+O12+O19+O26+O28)</f>
        <v>12792</v>
      </c>
      <c r="P34" s="573">
        <f>SUM(L12+L19+L26+L33+L40+L47+P12+P19+P26+P28)</f>
        <v>15458</v>
      </c>
    </row>
    <row r="35" spans="1:19" ht="16.5" customHeight="1">
      <c r="A35" s="207">
        <v>20</v>
      </c>
      <c r="B35" s="17">
        <f>SUM(C35:D35)</f>
        <v>1349</v>
      </c>
      <c r="C35" s="644">
        <v>708</v>
      </c>
      <c r="D35" s="572">
        <v>641</v>
      </c>
      <c r="E35" s="649">
        <v>50</v>
      </c>
      <c r="F35" s="17">
        <f>SUM(G35:H35)</f>
        <v>1727</v>
      </c>
      <c r="G35" s="644">
        <v>835</v>
      </c>
      <c r="H35" s="572">
        <v>892</v>
      </c>
      <c r="I35" s="649">
        <v>80</v>
      </c>
      <c r="J35" s="17">
        <f>K35+L35</f>
        <v>711</v>
      </c>
      <c r="K35" s="644">
        <v>335</v>
      </c>
      <c r="L35" s="572">
        <v>376</v>
      </c>
      <c r="M35" s="15" t="s">
        <v>59</v>
      </c>
      <c r="N35" s="17">
        <f>SUM(O35:P35)</f>
        <v>14910</v>
      </c>
      <c r="O35" s="644">
        <f>SUM(K26+K33+K40+K47+O12+O19+O26+O28)</f>
        <v>6355</v>
      </c>
      <c r="P35" s="573">
        <f>SUM(L26+L33+L40+L47+P12+P19+P26+P28)</f>
        <v>8555</v>
      </c>
    </row>
    <row r="36" spans="1:19" ht="16.5" customHeight="1">
      <c r="A36" s="207">
        <v>21</v>
      </c>
      <c r="B36" s="17">
        <f t="shared" ref="B36:B39" si="8">SUM(C36:D36)</f>
        <v>1266</v>
      </c>
      <c r="C36" s="644">
        <v>657</v>
      </c>
      <c r="D36" s="572">
        <v>609</v>
      </c>
      <c r="E36" s="649">
        <v>51</v>
      </c>
      <c r="F36" s="17">
        <f t="shared" ref="F36:F39" si="9">SUM(G36:H36)</f>
        <v>1701</v>
      </c>
      <c r="G36" s="644">
        <v>835</v>
      </c>
      <c r="H36" s="572">
        <v>866</v>
      </c>
      <c r="I36" s="649">
        <v>81</v>
      </c>
      <c r="J36" s="17">
        <f>K36+L36</f>
        <v>700</v>
      </c>
      <c r="K36" s="644">
        <v>288</v>
      </c>
      <c r="L36" s="572">
        <v>412</v>
      </c>
      <c r="M36" s="15" t="s">
        <v>60</v>
      </c>
      <c r="N36" s="17">
        <f>SUM(O36:P36)</f>
        <v>10442</v>
      </c>
      <c r="O36" s="644">
        <f>SUM(K33+K40+K47+O12+O19+O26+O28)</f>
        <v>4213</v>
      </c>
      <c r="P36" s="573">
        <f>SUM(L33+L40+L47+P12+P19+P26+P28)</f>
        <v>6229</v>
      </c>
      <c r="R36" s="667"/>
      <c r="S36" s="667"/>
    </row>
    <row r="37" spans="1:19" ht="16.5" customHeight="1">
      <c r="A37" s="207">
        <v>22</v>
      </c>
      <c r="B37" s="17">
        <f t="shared" si="8"/>
        <v>1236</v>
      </c>
      <c r="C37" s="644">
        <v>643</v>
      </c>
      <c r="D37" s="572">
        <v>593</v>
      </c>
      <c r="E37" s="649">
        <v>52</v>
      </c>
      <c r="F37" s="17">
        <f t="shared" si="9"/>
        <v>1316</v>
      </c>
      <c r="G37" s="644">
        <v>629</v>
      </c>
      <c r="H37" s="572">
        <v>687</v>
      </c>
      <c r="I37" s="649">
        <v>82</v>
      </c>
      <c r="J37" s="17">
        <f>K37+L37</f>
        <v>680</v>
      </c>
      <c r="K37" s="644">
        <v>286</v>
      </c>
      <c r="L37" s="572">
        <v>394</v>
      </c>
      <c r="M37" s="15"/>
      <c r="N37" s="17"/>
      <c r="O37" s="644"/>
      <c r="P37" s="573"/>
    </row>
    <row r="38" spans="1:19" ht="16.5" customHeight="1">
      <c r="A38" s="207">
        <v>23</v>
      </c>
      <c r="B38" s="17">
        <f t="shared" si="8"/>
        <v>1271</v>
      </c>
      <c r="C38" s="644">
        <v>650</v>
      </c>
      <c r="D38" s="572">
        <v>621</v>
      </c>
      <c r="E38" s="649">
        <v>53</v>
      </c>
      <c r="F38" s="17">
        <f t="shared" si="9"/>
        <v>1402</v>
      </c>
      <c r="G38" s="644">
        <v>678</v>
      </c>
      <c r="H38" s="572">
        <v>724</v>
      </c>
      <c r="I38" s="649">
        <v>83</v>
      </c>
      <c r="J38" s="17">
        <f>K38+L38</f>
        <v>616</v>
      </c>
      <c r="K38" s="644">
        <v>248</v>
      </c>
      <c r="L38" s="572">
        <v>368</v>
      </c>
      <c r="M38" s="15" t="s">
        <v>61</v>
      </c>
      <c r="N38" s="17">
        <f>SUM(O38:P38)</f>
        <v>20147</v>
      </c>
      <c r="O38" s="644">
        <f>SUM(C12+C19+C26)</f>
        <v>10268</v>
      </c>
      <c r="P38" s="573">
        <f>SUM(D12+D19+D26)</f>
        <v>9879</v>
      </c>
    </row>
    <row r="39" spans="1:19" ht="16.5" customHeight="1">
      <c r="A39" s="207">
        <v>24</v>
      </c>
      <c r="B39" s="17">
        <f t="shared" si="8"/>
        <v>1221</v>
      </c>
      <c r="C39" s="644">
        <v>617</v>
      </c>
      <c r="D39" s="572">
        <v>604</v>
      </c>
      <c r="E39" s="649">
        <v>54</v>
      </c>
      <c r="F39" s="17">
        <f t="shared" si="9"/>
        <v>1451</v>
      </c>
      <c r="G39" s="644">
        <v>722</v>
      </c>
      <c r="H39" s="572">
        <v>729</v>
      </c>
      <c r="I39" s="649">
        <v>84</v>
      </c>
      <c r="J39" s="17">
        <f>K39+L39</f>
        <v>583</v>
      </c>
      <c r="K39" s="644">
        <v>220</v>
      </c>
      <c r="L39" s="572">
        <v>363</v>
      </c>
      <c r="M39" s="15" t="s">
        <v>62</v>
      </c>
      <c r="N39" s="17">
        <f>SUM(O39:P39)</f>
        <v>72606</v>
      </c>
      <c r="O39" s="644">
        <f>SUM(C33+C40+C47+G12+G19+G26+G33+G40+G47+K12)</f>
        <v>35916</v>
      </c>
      <c r="P39" s="573">
        <f>SUM(D33+D40+D47+H12+H19+H26+H33+H40+H47+L12)</f>
        <v>36690</v>
      </c>
    </row>
    <row r="40" spans="1:19" ht="16.5" customHeight="1">
      <c r="A40" s="208" t="s">
        <v>63</v>
      </c>
      <c r="B40" s="17">
        <f>SUM(B35:B39)</f>
        <v>6343</v>
      </c>
      <c r="C40" s="644">
        <f>SUM(C35:C39)</f>
        <v>3275</v>
      </c>
      <c r="D40" s="644">
        <f>SUM(D35:D39)</f>
        <v>3068</v>
      </c>
      <c r="E40" s="15" t="s">
        <v>64</v>
      </c>
      <c r="F40" s="17">
        <f>SUM(F35:F39)</f>
        <v>7597</v>
      </c>
      <c r="G40" s="644">
        <f>SUM(G35:G39)</f>
        <v>3699</v>
      </c>
      <c r="H40" s="572">
        <f>SUM(H35:H39)</f>
        <v>3898</v>
      </c>
      <c r="I40" s="15" t="s">
        <v>65</v>
      </c>
      <c r="J40" s="17">
        <f>SUM(J35:J39)</f>
        <v>3290</v>
      </c>
      <c r="K40" s="644">
        <f>SUM(K35:K39)</f>
        <v>1377</v>
      </c>
      <c r="L40" s="644">
        <f>SUM(L35:L39)</f>
        <v>1913</v>
      </c>
      <c r="M40" s="15" t="s">
        <v>66</v>
      </c>
      <c r="N40" s="17">
        <f>SUM(O40:P40)</f>
        <v>21778</v>
      </c>
      <c r="O40" s="644">
        <f>SUM(K19+K26+K33+K40+K47+O12+O19+O26+O28)</f>
        <v>9640</v>
      </c>
      <c r="P40" s="573">
        <f>SUM(L19+L26+L33+L40+L47+P12+P19+P26+P28)</f>
        <v>12138</v>
      </c>
    </row>
    <row r="41" spans="1:19" ht="16.5" customHeight="1">
      <c r="A41" s="208"/>
      <c r="B41" s="17"/>
      <c r="C41" s="644"/>
      <c r="D41" s="572"/>
      <c r="E41" s="15"/>
      <c r="F41" s="17"/>
      <c r="G41" s="644"/>
      <c r="H41" s="572"/>
      <c r="I41" s="15"/>
      <c r="J41" s="17"/>
      <c r="K41" s="644"/>
      <c r="L41" s="572"/>
      <c r="M41" s="15"/>
      <c r="N41" s="15"/>
      <c r="O41" s="567"/>
      <c r="P41" s="199"/>
    </row>
    <row r="42" spans="1:19" ht="16.5" customHeight="1">
      <c r="A42" s="207">
        <v>25</v>
      </c>
      <c r="B42" s="17">
        <f>SUM(C42:D42)</f>
        <v>1265</v>
      </c>
      <c r="C42" s="644">
        <v>638</v>
      </c>
      <c r="D42" s="572">
        <v>627</v>
      </c>
      <c r="E42" s="649">
        <v>55</v>
      </c>
      <c r="F42" s="17">
        <f>SUM(G42:H42)</f>
        <v>1454</v>
      </c>
      <c r="G42" s="644">
        <v>683</v>
      </c>
      <c r="H42" s="572">
        <v>771</v>
      </c>
      <c r="I42" s="649">
        <v>85</v>
      </c>
      <c r="J42" s="17">
        <f>K42+L42</f>
        <v>476</v>
      </c>
      <c r="K42" s="644">
        <v>197</v>
      </c>
      <c r="L42" s="572">
        <v>279</v>
      </c>
      <c r="M42" s="649" t="s">
        <v>67</v>
      </c>
      <c r="N42" s="15"/>
      <c r="O42" s="567"/>
      <c r="P42" s="199"/>
    </row>
    <row r="43" spans="1:19" ht="16.5" customHeight="1">
      <c r="A43" s="207">
        <v>26</v>
      </c>
      <c r="B43" s="17">
        <f t="shared" ref="B43:B46" si="10">SUM(C43:D43)</f>
        <v>1193</v>
      </c>
      <c r="C43" s="644">
        <v>605</v>
      </c>
      <c r="D43" s="572">
        <v>588</v>
      </c>
      <c r="E43" s="649">
        <v>56</v>
      </c>
      <c r="F43" s="17">
        <f t="shared" ref="F43:F46" si="11">SUM(G43:H43)</f>
        <v>1367</v>
      </c>
      <c r="G43" s="644">
        <v>655</v>
      </c>
      <c r="H43" s="572">
        <v>712</v>
      </c>
      <c r="I43" s="649">
        <v>86</v>
      </c>
      <c r="J43" s="17">
        <f>K43+L43</f>
        <v>460</v>
      </c>
      <c r="K43" s="644">
        <v>171</v>
      </c>
      <c r="L43" s="572">
        <v>289</v>
      </c>
      <c r="M43" s="15" t="s">
        <v>61</v>
      </c>
      <c r="N43" s="575">
        <f>N38/$B$5</f>
        <v>0.17590870593987654</v>
      </c>
      <c r="O43" s="576">
        <f>O38/$B$5</f>
        <v>8.9652583143428416E-2</v>
      </c>
      <c r="P43" s="577">
        <f t="shared" ref="N43:P45" si="12">P38/$B$5</f>
        <v>8.625612279644812E-2</v>
      </c>
    </row>
    <row r="44" spans="1:19" ht="16.5" customHeight="1">
      <c r="A44" s="207">
        <v>27</v>
      </c>
      <c r="B44" s="17">
        <f t="shared" si="10"/>
        <v>1281</v>
      </c>
      <c r="C44" s="644">
        <v>643</v>
      </c>
      <c r="D44" s="572">
        <v>638</v>
      </c>
      <c r="E44" s="649">
        <v>57</v>
      </c>
      <c r="F44" s="17">
        <f t="shared" si="11"/>
        <v>1428</v>
      </c>
      <c r="G44" s="644">
        <v>690</v>
      </c>
      <c r="H44" s="572">
        <v>738</v>
      </c>
      <c r="I44" s="649">
        <v>87</v>
      </c>
      <c r="J44" s="17">
        <f>K44+L44</f>
        <v>344</v>
      </c>
      <c r="K44" s="644">
        <v>114</v>
      </c>
      <c r="L44" s="572">
        <v>230</v>
      </c>
      <c r="M44" s="15" t="s">
        <v>62</v>
      </c>
      <c r="N44" s="575">
        <f t="shared" si="12"/>
        <v>0.63394190219241953</v>
      </c>
      <c r="O44" s="576">
        <f t="shared" si="12"/>
        <v>0.31359195327029366</v>
      </c>
      <c r="P44" s="577">
        <f t="shared" si="12"/>
        <v>0.32034994892212587</v>
      </c>
    </row>
    <row r="45" spans="1:19" ht="16.5" customHeight="1">
      <c r="A45" s="207">
        <v>28</v>
      </c>
      <c r="B45" s="17">
        <f t="shared" si="10"/>
        <v>1282</v>
      </c>
      <c r="C45" s="644">
        <v>653</v>
      </c>
      <c r="D45" s="572">
        <v>629</v>
      </c>
      <c r="E45" s="649">
        <v>58</v>
      </c>
      <c r="F45" s="17">
        <f t="shared" si="11"/>
        <v>1372</v>
      </c>
      <c r="G45" s="644">
        <v>692</v>
      </c>
      <c r="H45" s="572">
        <v>680</v>
      </c>
      <c r="I45" s="649">
        <v>88</v>
      </c>
      <c r="J45" s="17">
        <f>K45+L45</f>
        <v>311</v>
      </c>
      <c r="K45" s="644">
        <v>115</v>
      </c>
      <c r="L45" s="572">
        <v>196</v>
      </c>
      <c r="M45" s="15" t="s">
        <v>66</v>
      </c>
      <c r="N45" s="575">
        <f t="shared" si="12"/>
        <v>0.19014939186770394</v>
      </c>
      <c r="O45" s="576">
        <f t="shared" si="12"/>
        <v>8.4169351529280276E-2</v>
      </c>
      <c r="P45" s="577">
        <f t="shared" si="12"/>
        <v>0.10598004033842366</v>
      </c>
    </row>
    <row r="46" spans="1:19" ht="16.5" customHeight="1">
      <c r="A46" s="207">
        <v>29</v>
      </c>
      <c r="B46" s="17">
        <f t="shared" si="10"/>
        <v>1271</v>
      </c>
      <c r="C46" s="644">
        <v>614</v>
      </c>
      <c r="D46" s="572">
        <v>657</v>
      </c>
      <c r="E46" s="649">
        <v>59</v>
      </c>
      <c r="F46" s="17">
        <f t="shared" si="11"/>
        <v>1328</v>
      </c>
      <c r="G46" s="644">
        <v>653</v>
      </c>
      <c r="H46" s="572">
        <v>675</v>
      </c>
      <c r="I46" s="649">
        <v>89</v>
      </c>
      <c r="J46" s="17">
        <f>K46+L46</f>
        <v>258</v>
      </c>
      <c r="K46" s="644">
        <v>81</v>
      </c>
      <c r="L46" s="572">
        <v>177</v>
      </c>
      <c r="M46" s="15"/>
      <c r="N46" s="578"/>
      <c r="O46" s="579"/>
      <c r="P46" s="580"/>
    </row>
    <row r="47" spans="1:19" ht="16.5" customHeight="1">
      <c r="A47" s="208" t="s">
        <v>68</v>
      </c>
      <c r="B47" s="17">
        <f>SUM(B42:B46)</f>
        <v>6292</v>
      </c>
      <c r="C47" s="644">
        <f>SUM(C42:C46)</f>
        <v>3153</v>
      </c>
      <c r="D47" s="644">
        <f>SUM(D42:D46)</f>
        <v>3139</v>
      </c>
      <c r="E47" s="15" t="s">
        <v>69</v>
      </c>
      <c r="F47" s="17">
        <f>SUM(F42:F46)</f>
        <v>6949</v>
      </c>
      <c r="G47" s="644">
        <f>SUM(G42:G46)</f>
        <v>3373</v>
      </c>
      <c r="H47" s="572">
        <f>SUM(H42:H46)</f>
        <v>3576</v>
      </c>
      <c r="I47" s="15" t="s">
        <v>70</v>
      </c>
      <c r="J47" s="17">
        <f>SUM(J42:J46)</f>
        <v>1849</v>
      </c>
      <c r="K47" s="644">
        <f>SUM(K42:K46)</f>
        <v>678</v>
      </c>
      <c r="L47" s="644">
        <f>SUM(L42:L46)</f>
        <v>1171</v>
      </c>
      <c r="M47" s="15" t="s">
        <v>71</v>
      </c>
      <c r="N47" s="672">
        <v>40.83</v>
      </c>
      <c r="O47" s="673">
        <v>39.64</v>
      </c>
      <c r="P47" s="674">
        <v>41.96</v>
      </c>
    </row>
    <row r="48" spans="1:19" ht="16.5" customHeight="1" thickBot="1">
      <c r="A48" s="211"/>
      <c r="B48" s="581"/>
      <c r="C48" s="646"/>
      <c r="D48" s="582"/>
      <c r="E48" s="212"/>
      <c r="F48" s="581"/>
      <c r="G48" s="646"/>
      <c r="H48" s="582"/>
      <c r="I48" s="212"/>
      <c r="J48" s="212"/>
      <c r="K48" s="583"/>
      <c r="L48" s="584"/>
      <c r="M48" s="212"/>
      <c r="N48" s="212"/>
      <c r="O48" s="583"/>
      <c r="P48" s="585"/>
    </row>
    <row r="49" spans="1:16" ht="18" customHeight="1">
      <c r="A49" s="13" t="s">
        <v>72</v>
      </c>
      <c r="B49" s="665"/>
      <c r="C49" s="665"/>
      <c r="D49" s="665"/>
      <c r="E49" s="13"/>
      <c r="F49" s="665"/>
      <c r="G49" s="665"/>
      <c r="H49" s="665"/>
      <c r="I49" s="668"/>
      <c r="J49" s="669"/>
      <c r="K49" s="669"/>
      <c r="L49" s="665"/>
      <c r="M49" s="13"/>
      <c r="N49" s="669"/>
      <c r="P49" s="14" t="s">
        <v>647</v>
      </c>
    </row>
  </sheetData>
  <sheetProtection sheet="1" objects="1" scenarios="1"/>
  <phoneticPr fontId="17"/>
  <printOptions horizontalCentered="1"/>
  <pageMargins left="0.59055118110236227" right="0.59055118110236227" top="0.59055118110236227" bottom="0.59055118110236227" header="0.39370078740157483" footer="0.39370078740157483"/>
  <pageSetup paperSize="9" firstPageNumber="0" orientation="portrait" verticalDpi="300" r:id="rId1"/>
  <headerFooter scaleWithDoc="0" alignWithMargins="0">
    <oddHeader>&amp;L&amp;"ＭＳ 明朝,標準"&amp;10人　口</oddHeader>
    <oddFooter>&amp;C&amp;"ＭＳ 明朝,標準"&amp;12&amp;A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S49"/>
  <sheetViews>
    <sheetView view="pageBreakPreview" topLeftCell="I1" zoomScale="85" zoomScaleNormal="120" zoomScaleSheetLayoutView="85" workbookViewId="0">
      <selection activeCell="H1" sqref="A1:H1048576"/>
    </sheetView>
  </sheetViews>
  <sheetFormatPr defaultRowHeight="17.100000000000001" customHeight="1"/>
  <cols>
    <col min="1" max="1" width="11.875" style="111" hidden="1" customWidth="1"/>
    <col min="2" max="4" width="11.25" style="666" hidden="1" customWidth="1"/>
    <col min="5" max="5" width="11.875" style="111" hidden="1" customWidth="1"/>
    <col min="6" max="8" width="11.25" style="666" hidden="1" customWidth="1"/>
    <col min="9" max="9" width="11.875" style="670" customWidth="1"/>
    <col min="10" max="12" width="11.25" style="666" customWidth="1"/>
    <col min="13" max="13" width="11.875" style="666" customWidth="1"/>
    <col min="14" max="16" width="11.25" style="666" customWidth="1"/>
    <col min="17" max="16384" width="9" style="666"/>
  </cols>
  <sheetData>
    <row r="1" spans="1:16" ht="5.0999999999999996" customHeight="1">
      <c r="A1" s="13"/>
      <c r="B1" s="665"/>
      <c r="C1" s="665"/>
      <c r="D1" s="665"/>
      <c r="E1" s="13"/>
      <c r="G1" s="665"/>
      <c r="H1" s="14"/>
      <c r="I1" s="13" t="s">
        <v>24</v>
      </c>
      <c r="J1" s="665"/>
      <c r="K1" s="665"/>
      <c r="L1" s="665"/>
      <c r="M1" s="13"/>
      <c r="O1" s="665"/>
      <c r="P1" s="14"/>
    </row>
    <row r="2" spans="1:16" ht="15" customHeight="1" thickBot="1">
      <c r="A2" s="13" t="s">
        <v>707</v>
      </c>
      <c r="B2" s="665"/>
      <c r="C2" s="665"/>
      <c r="D2" s="665"/>
      <c r="E2" s="13"/>
      <c r="G2" s="665"/>
      <c r="H2" s="14"/>
      <c r="I2" s="13"/>
      <c r="J2" s="665"/>
      <c r="K2" s="665"/>
      <c r="L2" s="665"/>
      <c r="M2" s="13"/>
      <c r="O2" s="665"/>
      <c r="P2" s="14" t="s">
        <v>25</v>
      </c>
    </row>
    <row r="3" spans="1:16" ht="24" customHeight="1">
      <c r="A3" s="641" t="s">
        <v>26</v>
      </c>
      <c r="B3" s="638" t="s">
        <v>27</v>
      </c>
      <c r="C3" s="638" t="s">
        <v>15</v>
      </c>
      <c r="D3" s="634" t="s">
        <v>16</v>
      </c>
      <c r="E3" s="638" t="s">
        <v>26</v>
      </c>
      <c r="F3" s="638" t="s">
        <v>27</v>
      </c>
      <c r="G3" s="638" t="s">
        <v>15</v>
      </c>
      <c r="H3" s="634" t="s">
        <v>16</v>
      </c>
      <c r="I3" s="634" t="s">
        <v>26</v>
      </c>
      <c r="J3" s="638" t="s">
        <v>27</v>
      </c>
      <c r="K3" s="638" t="s">
        <v>15</v>
      </c>
      <c r="L3" s="634" t="s">
        <v>16</v>
      </c>
      <c r="M3" s="638" t="s">
        <v>26</v>
      </c>
      <c r="N3" s="638" t="s">
        <v>27</v>
      </c>
      <c r="O3" s="638" t="s">
        <v>15</v>
      </c>
      <c r="P3" s="643" t="s">
        <v>16</v>
      </c>
    </row>
    <row r="4" spans="1:16" ht="7.5" customHeight="1">
      <c r="A4" s="207"/>
      <c r="B4" s="636"/>
      <c r="C4" s="218"/>
      <c r="D4" s="650"/>
      <c r="E4" s="649"/>
      <c r="F4" s="636"/>
      <c r="G4" s="218"/>
      <c r="H4" s="219"/>
      <c r="I4" s="651"/>
      <c r="J4" s="636"/>
      <c r="K4" s="218"/>
      <c r="L4" s="650"/>
      <c r="M4" s="649"/>
      <c r="N4" s="636"/>
      <c r="O4" s="218"/>
      <c r="P4" s="220"/>
    </row>
    <row r="5" spans="1:16" ht="16.5" customHeight="1">
      <c r="A5" s="208" t="s">
        <v>28</v>
      </c>
      <c r="B5" s="17">
        <f>SUM(C5:D5)</f>
        <v>114531</v>
      </c>
      <c r="C5" s="644">
        <f>C$12+C$19+C$26+C$33+C$40+C$47+G$12+G$19+G$26+G$33+G$40+G$47+K$12+K$19+K$26+K$33+K$40+K$47+O$12+O$19+O$26+O$28</f>
        <v>55824</v>
      </c>
      <c r="D5" s="644">
        <f>D$12+D$19+D$26+D$33+D$40+D$47+H$12+H$19+H$26+H$33+H$40+H$47+L$12+L$19+L$26+L$33+L$40+L$47+P$12+P$19+P$26+P$28</f>
        <v>58707</v>
      </c>
      <c r="E5" s="15"/>
      <c r="F5" s="15"/>
      <c r="G5" s="567"/>
      <c r="H5" s="571"/>
      <c r="I5" s="16"/>
      <c r="J5" s="15"/>
      <c r="K5" s="567"/>
      <c r="L5" s="571"/>
      <c r="M5" s="15"/>
      <c r="N5" s="15"/>
      <c r="O5" s="567"/>
      <c r="P5" s="199"/>
    </row>
    <row r="6" spans="1:16" ht="16.5" customHeight="1">
      <c r="A6" s="208"/>
      <c r="B6" s="17"/>
      <c r="C6" s="644"/>
      <c r="D6" s="572"/>
      <c r="E6" s="15"/>
      <c r="F6" s="15"/>
      <c r="G6" s="567"/>
      <c r="H6" s="571"/>
      <c r="I6" s="16"/>
      <c r="J6" s="15"/>
      <c r="K6" s="567"/>
      <c r="L6" s="571"/>
      <c r="M6" s="15"/>
      <c r="N6" s="15"/>
      <c r="O6" s="567"/>
      <c r="P6" s="199"/>
    </row>
    <row r="7" spans="1:16" ht="16.5" customHeight="1">
      <c r="A7" s="209" t="s">
        <v>29</v>
      </c>
      <c r="B7" s="17">
        <f>SUM(C7:D7)</f>
        <v>1215</v>
      </c>
      <c r="C7" s="644">
        <v>631</v>
      </c>
      <c r="D7" s="572">
        <v>584</v>
      </c>
      <c r="E7" s="649">
        <v>30</v>
      </c>
      <c r="F7" s="17">
        <f>SUM(G7:H7)</f>
        <v>1314</v>
      </c>
      <c r="G7" s="644">
        <v>661</v>
      </c>
      <c r="H7" s="572">
        <v>653</v>
      </c>
      <c r="I7" s="651">
        <v>60</v>
      </c>
      <c r="J7" s="17">
        <f>K7+L7</f>
        <v>1339</v>
      </c>
      <c r="K7" s="644">
        <v>668</v>
      </c>
      <c r="L7" s="572">
        <v>671</v>
      </c>
      <c r="M7" s="649">
        <v>90</v>
      </c>
      <c r="N7" s="17">
        <f>O7+P7</f>
        <v>246</v>
      </c>
      <c r="O7" s="644">
        <v>75</v>
      </c>
      <c r="P7" s="573">
        <v>171</v>
      </c>
    </row>
    <row r="8" spans="1:16" ht="16.5" customHeight="1">
      <c r="A8" s="209" t="s">
        <v>30</v>
      </c>
      <c r="B8" s="17">
        <f t="shared" ref="B8:B11" si="0">SUM(C8:D8)</f>
        <v>1280</v>
      </c>
      <c r="C8" s="644">
        <v>658</v>
      </c>
      <c r="D8" s="572">
        <v>622</v>
      </c>
      <c r="E8" s="649">
        <v>31</v>
      </c>
      <c r="F8" s="17">
        <f t="shared" ref="F8:F11" si="1">SUM(G8:H8)</f>
        <v>1351</v>
      </c>
      <c r="G8" s="644">
        <v>674</v>
      </c>
      <c r="H8" s="572">
        <v>677</v>
      </c>
      <c r="I8" s="651">
        <v>61</v>
      </c>
      <c r="J8" s="17">
        <f>K8+L8</f>
        <v>1236</v>
      </c>
      <c r="K8" s="644">
        <v>623</v>
      </c>
      <c r="L8" s="572">
        <v>613</v>
      </c>
      <c r="M8" s="649">
        <v>91</v>
      </c>
      <c r="N8" s="17">
        <f>O8+P8</f>
        <v>186</v>
      </c>
      <c r="O8" s="644">
        <v>48</v>
      </c>
      <c r="P8" s="573">
        <v>138</v>
      </c>
    </row>
    <row r="9" spans="1:16" ht="16.5" customHeight="1">
      <c r="A9" s="209" t="s">
        <v>31</v>
      </c>
      <c r="B9" s="17">
        <f t="shared" si="0"/>
        <v>1302</v>
      </c>
      <c r="C9" s="644">
        <v>652</v>
      </c>
      <c r="D9" s="572">
        <v>650</v>
      </c>
      <c r="E9" s="649">
        <v>32</v>
      </c>
      <c r="F9" s="17">
        <f t="shared" si="1"/>
        <v>1509</v>
      </c>
      <c r="G9" s="644">
        <v>760</v>
      </c>
      <c r="H9" s="572">
        <v>749</v>
      </c>
      <c r="I9" s="651">
        <v>62</v>
      </c>
      <c r="J9" s="17">
        <f>K9+L9</f>
        <v>1254</v>
      </c>
      <c r="K9" s="644">
        <v>602</v>
      </c>
      <c r="L9" s="572">
        <v>652</v>
      </c>
      <c r="M9" s="649">
        <v>92</v>
      </c>
      <c r="N9" s="17">
        <f>O9+P9</f>
        <v>145</v>
      </c>
      <c r="O9" s="644">
        <v>34</v>
      </c>
      <c r="P9" s="573">
        <v>111</v>
      </c>
    </row>
    <row r="10" spans="1:16" ht="16.5" customHeight="1">
      <c r="A10" s="209" t="s">
        <v>32</v>
      </c>
      <c r="B10" s="17">
        <f t="shared" si="0"/>
        <v>1313</v>
      </c>
      <c r="C10" s="644">
        <v>659</v>
      </c>
      <c r="D10" s="572">
        <v>654</v>
      </c>
      <c r="E10" s="649">
        <v>33</v>
      </c>
      <c r="F10" s="17">
        <f t="shared" si="1"/>
        <v>1465</v>
      </c>
      <c r="G10" s="644">
        <v>703</v>
      </c>
      <c r="H10" s="572">
        <v>762</v>
      </c>
      <c r="I10" s="651">
        <v>63</v>
      </c>
      <c r="J10" s="17">
        <f>K10+L10</f>
        <v>1300</v>
      </c>
      <c r="K10" s="644">
        <v>635</v>
      </c>
      <c r="L10" s="572">
        <v>665</v>
      </c>
      <c r="M10" s="649">
        <v>93</v>
      </c>
      <c r="N10" s="17">
        <f>O10+P10</f>
        <v>119</v>
      </c>
      <c r="O10" s="644">
        <v>20</v>
      </c>
      <c r="P10" s="573">
        <v>99</v>
      </c>
    </row>
    <row r="11" spans="1:16" ht="16.5" customHeight="1">
      <c r="A11" s="209" t="s">
        <v>33</v>
      </c>
      <c r="B11" s="17">
        <f t="shared" si="0"/>
        <v>1291</v>
      </c>
      <c r="C11" s="644">
        <v>655</v>
      </c>
      <c r="D11" s="572">
        <v>636</v>
      </c>
      <c r="E11" s="649">
        <v>34</v>
      </c>
      <c r="F11" s="17">
        <f t="shared" si="1"/>
        <v>1550</v>
      </c>
      <c r="G11" s="644">
        <v>760</v>
      </c>
      <c r="H11" s="572">
        <v>790</v>
      </c>
      <c r="I11" s="651">
        <v>64</v>
      </c>
      <c r="J11" s="17">
        <f>K11+L11</f>
        <v>1343</v>
      </c>
      <c r="K11" s="644">
        <v>624</v>
      </c>
      <c r="L11" s="572">
        <v>719</v>
      </c>
      <c r="M11" s="649">
        <v>94</v>
      </c>
      <c r="N11" s="17">
        <f>O11+P11</f>
        <v>91</v>
      </c>
      <c r="O11" s="644">
        <v>23</v>
      </c>
      <c r="P11" s="573">
        <v>68</v>
      </c>
    </row>
    <row r="12" spans="1:16" ht="16.5" customHeight="1">
      <c r="A12" s="210" t="s">
        <v>34</v>
      </c>
      <c r="B12" s="17">
        <f>SUM(B7:B11)</f>
        <v>6401</v>
      </c>
      <c r="C12" s="644">
        <f>SUM(C7:C11)</f>
        <v>3255</v>
      </c>
      <c r="D12" s="644">
        <f>SUM(D7:D11)</f>
        <v>3146</v>
      </c>
      <c r="E12" s="15" t="s">
        <v>35</v>
      </c>
      <c r="F12" s="17">
        <f>SUM(F7:F11)</f>
        <v>7189</v>
      </c>
      <c r="G12" s="644">
        <f>SUM(G7:G11)</f>
        <v>3558</v>
      </c>
      <c r="H12" s="572">
        <f>SUM(H7:H11)</f>
        <v>3631</v>
      </c>
      <c r="I12" s="16" t="s">
        <v>36</v>
      </c>
      <c r="J12" s="17">
        <f>SUM(J7:J11)</f>
        <v>6472</v>
      </c>
      <c r="K12" s="644">
        <f>SUM(K7:K11)</f>
        <v>3152</v>
      </c>
      <c r="L12" s="644">
        <f>SUM(L7:L11)</f>
        <v>3320</v>
      </c>
      <c r="M12" s="15" t="s">
        <v>37</v>
      </c>
      <c r="N12" s="17">
        <f>SUM(N7:N11)</f>
        <v>787</v>
      </c>
      <c r="O12" s="644">
        <f>SUM(O7:O11)</f>
        <v>200</v>
      </c>
      <c r="P12" s="573">
        <f>SUM(P7:P11)</f>
        <v>587</v>
      </c>
    </row>
    <row r="13" spans="1:16" ht="16.5" customHeight="1">
      <c r="A13" s="210"/>
      <c r="B13" s="17"/>
      <c r="C13" s="644"/>
      <c r="D13" s="572"/>
      <c r="E13" s="15"/>
      <c r="F13" s="17"/>
      <c r="G13" s="644"/>
      <c r="H13" s="572"/>
      <c r="I13" s="15"/>
      <c r="J13" s="17"/>
      <c r="K13" s="644"/>
      <c r="L13" s="572"/>
      <c r="M13" s="15"/>
      <c r="N13" s="17"/>
      <c r="O13" s="644"/>
      <c r="P13" s="573"/>
    </row>
    <row r="14" spans="1:16" ht="16.5" customHeight="1">
      <c r="A14" s="209" t="s">
        <v>38</v>
      </c>
      <c r="B14" s="17">
        <f>SUM(C14:D14)</f>
        <v>1316</v>
      </c>
      <c r="C14" s="644">
        <v>673</v>
      </c>
      <c r="D14" s="572">
        <v>643</v>
      </c>
      <c r="E14" s="649">
        <v>35</v>
      </c>
      <c r="F14" s="17">
        <f>SUM(G14:H14)</f>
        <v>1475</v>
      </c>
      <c r="G14" s="644">
        <v>733</v>
      </c>
      <c r="H14" s="572">
        <v>742</v>
      </c>
      <c r="I14" s="649">
        <v>65</v>
      </c>
      <c r="J14" s="17">
        <f>K14+L14</f>
        <v>1348</v>
      </c>
      <c r="K14" s="644">
        <v>645</v>
      </c>
      <c r="L14" s="572">
        <v>703</v>
      </c>
      <c r="M14" s="649">
        <v>95</v>
      </c>
      <c r="N14" s="17">
        <f>O14+P14</f>
        <v>78</v>
      </c>
      <c r="O14" s="644">
        <v>23</v>
      </c>
      <c r="P14" s="573">
        <v>55</v>
      </c>
    </row>
    <row r="15" spans="1:16" ht="16.5" customHeight="1">
      <c r="A15" s="209" t="s">
        <v>39</v>
      </c>
      <c r="B15" s="17">
        <f t="shared" ref="B15:B18" si="2">SUM(C15:D15)</f>
        <v>1398</v>
      </c>
      <c r="C15" s="644">
        <v>698</v>
      </c>
      <c r="D15" s="572">
        <v>700</v>
      </c>
      <c r="E15" s="649">
        <v>36</v>
      </c>
      <c r="F15" s="17">
        <f t="shared" ref="F15:F18" si="3">SUM(G15:H15)</f>
        <v>1450</v>
      </c>
      <c r="G15" s="644">
        <v>719</v>
      </c>
      <c r="H15" s="572">
        <v>731</v>
      </c>
      <c r="I15" s="649">
        <v>66</v>
      </c>
      <c r="J15" s="17">
        <f>K15+L15</f>
        <v>1393</v>
      </c>
      <c r="K15" s="644">
        <v>669</v>
      </c>
      <c r="L15" s="572">
        <v>724</v>
      </c>
      <c r="M15" s="649">
        <v>96</v>
      </c>
      <c r="N15" s="17">
        <f>O15+P15</f>
        <v>74</v>
      </c>
      <c r="O15" s="644">
        <v>16</v>
      </c>
      <c r="P15" s="573">
        <v>58</v>
      </c>
    </row>
    <row r="16" spans="1:16" ht="16.5" customHeight="1">
      <c r="A16" s="209" t="s">
        <v>40</v>
      </c>
      <c r="B16" s="17">
        <f t="shared" si="2"/>
        <v>1391</v>
      </c>
      <c r="C16" s="644">
        <v>694</v>
      </c>
      <c r="D16" s="572">
        <v>697</v>
      </c>
      <c r="E16" s="649">
        <v>37</v>
      </c>
      <c r="F16" s="17">
        <f t="shared" si="3"/>
        <v>1462</v>
      </c>
      <c r="G16" s="644">
        <v>702</v>
      </c>
      <c r="H16" s="572">
        <v>760</v>
      </c>
      <c r="I16" s="649">
        <v>67</v>
      </c>
      <c r="J16" s="17">
        <f>K16+L16</f>
        <v>1443</v>
      </c>
      <c r="K16" s="644">
        <v>653</v>
      </c>
      <c r="L16" s="572">
        <v>790</v>
      </c>
      <c r="M16" s="649">
        <v>97</v>
      </c>
      <c r="N16" s="17">
        <f>O16+P16</f>
        <v>42</v>
      </c>
      <c r="O16" s="644">
        <v>6</v>
      </c>
      <c r="P16" s="573">
        <v>36</v>
      </c>
    </row>
    <row r="17" spans="1:16" ht="16.5" customHeight="1">
      <c r="A17" s="209" t="s">
        <v>41</v>
      </c>
      <c r="B17" s="17">
        <f t="shared" si="2"/>
        <v>1349</v>
      </c>
      <c r="C17" s="644">
        <v>685</v>
      </c>
      <c r="D17" s="572">
        <v>664</v>
      </c>
      <c r="E17" s="649">
        <v>38</v>
      </c>
      <c r="F17" s="17">
        <f t="shared" si="3"/>
        <v>1509</v>
      </c>
      <c r="G17" s="644">
        <v>720</v>
      </c>
      <c r="H17" s="572">
        <v>789</v>
      </c>
      <c r="I17" s="649">
        <v>68</v>
      </c>
      <c r="J17" s="17">
        <f>K17+L17</f>
        <v>1387</v>
      </c>
      <c r="K17" s="644">
        <v>684</v>
      </c>
      <c r="L17" s="572">
        <v>703</v>
      </c>
      <c r="M17" s="649">
        <v>98</v>
      </c>
      <c r="N17" s="17">
        <f>O17+P17</f>
        <v>31</v>
      </c>
      <c r="O17" s="644">
        <v>3</v>
      </c>
      <c r="P17" s="573">
        <v>28</v>
      </c>
    </row>
    <row r="18" spans="1:16" ht="16.5" customHeight="1">
      <c r="A18" s="209" t="s">
        <v>42</v>
      </c>
      <c r="B18" s="17">
        <f t="shared" si="2"/>
        <v>1376</v>
      </c>
      <c r="C18" s="644">
        <v>725</v>
      </c>
      <c r="D18" s="572">
        <v>651</v>
      </c>
      <c r="E18" s="649">
        <v>39</v>
      </c>
      <c r="F18" s="17">
        <f t="shared" si="3"/>
        <v>1529</v>
      </c>
      <c r="G18" s="644">
        <v>748</v>
      </c>
      <c r="H18" s="572">
        <v>781</v>
      </c>
      <c r="I18" s="649">
        <v>69</v>
      </c>
      <c r="J18" s="17">
        <f>K18+L18</f>
        <v>1297</v>
      </c>
      <c r="K18" s="644">
        <v>634</v>
      </c>
      <c r="L18" s="572">
        <v>663</v>
      </c>
      <c r="M18" s="649">
        <v>99</v>
      </c>
      <c r="N18" s="17">
        <f>O18+P18</f>
        <v>33</v>
      </c>
      <c r="O18" s="644">
        <v>6</v>
      </c>
      <c r="P18" s="573">
        <v>27</v>
      </c>
    </row>
    <row r="19" spans="1:16" ht="16.5" customHeight="1">
      <c r="A19" s="210" t="s">
        <v>43</v>
      </c>
      <c r="B19" s="17">
        <f>SUM(B14:B18)</f>
        <v>6830</v>
      </c>
      <c r="C19" s="644">
        <f>SUM(C14:C18)</f>
        <v>3475</v>
      </c>
      <c r="D19" s="644">
        <f>SUM(D14:D18)</f>
        <v>3355</v>
      </c>
      <c r="E19" s="15" t="s">
        <v>44</v>
      </c>
      <c r="F19" s="17">
        <f>SUM(F14:F18)</f>
        <v>7425</v>
      </c>
      <c r="G19" s="644">
        <f>SUM(G14:G18)</f>
        <v>3622</v>
      </c>
      <c r="H19" s="572">
        <f>SUM(H14:H18)</f>
        <v>3803</v>
      </c>
      <c r="I19" s="15" t="s">
        <v>45</v>
      </c>
      <c r="J19" s="17">
        <f>SUM(J14:J18)</f>
        <v>6868</v>
      </c>
      <c r="K19" s="644">
        <f>SUM(K14:K18)</f>
        <v>3285</v>
      </c>
      <c r="L19" s="644">
        <f>SUM(L14:L18)</f>
        <v>3583</v>
      </c>
      <c r="M19" s="15" t="s">
        <v>46</v>
      </c>
      <c r="N19" s="17">
        <f>SUM(N14:N18)</f>
        <v>258</v>
      </c>
      <c r="O19" s="644">
        <f>SUM(O14:O18)</f>
        <v>54</v>
      </c>
      <c r="P19" s="573">
        <f>SUM(P14:P18)</f>
        <v>204</v>
      </c>
    </row>
    <row r="20" spans="1:16" ht="16.5" customHeight="1">
      <c r="A20" s="208"/>
      <c r="B20" s="17"/>
      <c r="C20" s="644"/>
      <c r="D20" s="572"/>
      <c r="E20" s="15"/>
      <c r="F20" s="17"/>
      <c r="G20" s="644"/>
      <c r="H20" s="572"/>
      <c r="I20" s="15"/>
      <c r="J20" s="17"/>
      <c r="K20" s="644"/>
      <c r="L20" s="572"/>
      <c r="M20" s="15"/>
      <c r="N20" s="17"/>
      <c r="O20" s="644"/>
      <c r="P20" s="573"/>
    </row>
    <row r="21" spans="1:16" ht="16.5" customHeight="1">
      <c r="A21" s="207">
        <v>10</v>
      </c>
      <c r="B21" s="17">
        <f>SUM(C21:D21)</f>
        <v>1393</v>
      </c>
      <c r="C21" s="644">
        <v>683</v>
      </c>
      <c r="D21" s="572">
        <v>710</v>
      </c>
      <c r="E21" s="649">
        <v>40</v>
      </c>
      <c r="F21" s="17">
        <f>SUM(G21:H21)</f>
        <v>1630</v>
      </c>
      <c r="G21" s="644">
        <v>810</v>
      </c>
      <c r="H21" s="572">
        <v>820</v>
      </c>
      <c r="I21" s="649">
        <v>70</v>
      </c>
      <c r="J21" s="17">
        <f>K21+L21</f>
        <v>1311</v>
      </c>
      <c r="K21" s="644">
        <v>644</v>
      </c>
      <c r="L21" s="572">
        <v>667</v>
      </c>
      <c r="M21" s="649">
        <v>100</v>
      </c>
      <c r="N21" s="17">
        <f>O21+P21</f>
        <v>11</v>
      </c>
      <c r="O21" s="675">
        <v>0</v>
      </c>
      <c r="P21" s="573">
        <v>11</v>
      </c>
    </row>
    <row r="22" spans="1:16" ht="16.5" customHeight="1">
      <c r="A22" s="207">
        <v>11</v>
      </c>
      <c r="B22" s="17">
        <f t="shared" ref="B22:B25" si="4">SUM(C22:D22)</f>
        <v>1405</v>
      </c>
      <c r="C22" s="644">
        <v>727</v>
      </c>
      <c r="D22" s="572">
        <v>678</v>
      </c>
      <c r="E22" s="649">
        <v>41</v>
      </c>
      <c r="F22" s="17">
        <f t="shared" ref="F22:F25" si="5">SUM(G22:H22)</f>
        <v>1581</v>
      </c>
      <c r="G22" s="644">
        <v>774</v>
      </c>
      <c r="H22" s="572">
        <v>807</v>
      </c>
      <c r="I22" s="649">
        <v>71</v>
      </c>
      <c r="J22" s="17">
        <f>K22+L22</f>
        <v>1242</v>
      </c>
      <c r="K22" s="644">
        <v>604</v>
      </c>
      <c r="L22" s="572">
        <v>638</v>
      </c>
      <c r="M22" s="649">
        <v>101</v>
      </c>
      <c r="N22" s="17">
        <f>O22+P22</f>
        <v>15</v>
      </c>
      <c r="O22" s="644">
        <v>1</v>
      </c>
      <c r="P22" s="573">
        <v>14</v>
      </c>
    </row>
    <row r="23" spans="1:16" ht="16.5" customHeight="1">
      <c r="A23" s="207">
        <v>12</v>
      </c>
      <c r="B23" s="17">
        <f t="shared" si="4"/>
        <v>1441</v>
      </c>
      <c r="C23" s="644">
        <v>739</v>
      </c>
      <c r="D23" s="572">
        <v>702</v>
      </c>
      <c r="E23" s="649">
        <v>42</v>
      </c>
      <c r="F23" s="17">
        <f t="shared" si="5"/>
        <v>1650</v>
      </c>
      <c r="G23" s="644">
        <v>812</v>
      </c>
      <c r="H23" s="572">
        <v>838</v>
      </c>
      <c r="I23" s="649">
        <v>72</v>
      </c>
      <c r="J23" s="17">
        <f>K23+L23</f>
        <v>594</v>
      </c>
      <c r="K23" s="644">
        <v>287</v>
      </c>
      <c r="L23" s="572">
        <v>307</v>
      </c>
      <c r="M23" s="649">
        <v>102</v>
      </c>
      <c r="N23" s="17">
        <f>O23+P23</f>
        <v>10</v>
      </c>
      <c r="O23" s="644">
        <v>1</v>
      </c>
      <c r="P23" s="573">
        <v>9</v>
      </c>
    </row>
    <row r="24" spans="1:16" ht="16.5" customHeight="1">
      <c r="A24" s="207">
        <v>13</v>
      </c>
      <c r="B24" s="17">
        <f t="shared" si="4"/>
        <v>1294</v>
      </c>
      <c r="C24" s="644">
        <v>670</v>
      </c>
      <c r="D24" s="572">
        <v>624</v>
      </c>
      <c r="E24" s="649">
        <v>43</v>
      </c>
      <c r="F24" s="17">
        <f t="shared" si="5"/>
        <v>1761</v>
      </c>
      <c r="G24" s="644">
        <v>879</v>
      </c>
      <c r="H24" s="572">
        <v>882</v>
      </c>
      <c r="I24" s="649">
        <v>73</v>
      </c>
      <c r="J24" s="17">
        <f>K24+L24</f>
        <v>550</v>
      </c>
      <c r="K24" s="644">
        <v>256</v>
      </c>
      <c r="L24" s="572">
        <v>294</v>
      </c>
      <c r="M24" s="649">
        <v>103</v>
      </c>
      <c r="N24" s="17">
        <f>O24+P24</f>
        <v>2</v>
      </c>
      <c r="O24" s="644">
        <v>1</v>
      </c>
      <c r="P24" s="573">
        <v>1</v>
      </c>
    </row>
    <row r="25" spans="1:16" ht="16.5" customHeight="1">
      <c r="A25" s="207">
        <v>14</v>
      </c>
      <c r="B25" s="17">
        <f t="shared" si="4"/>
        <v>1383</v>
      </c>
      <c r="C25" s="644">
        <v>719</v>
      </c>
      <c r="D25" s="572">
        <v>664</v>
      </c>
      <c r="E25" s="649">
        <v>44</v>
      </c>
      <c r="F25" s="17">
        <f t="shared" si="5"/>
        <v>1902</v>
      </c>
      <c r="G25" s="644">
        <v>940</v>
      </c>
      <c r="H25" s="572">
        <v>962</v>
      </c>
      <c r="I25" s="649">
        <v>74</v>
      </c>
      <c r="J25" s="17">
        <f>K25+L25</f>
        <v>771</v>
      </c>
      <c r="K25" s="644">
        <v>351</v>
      </c>
      <c r="L25" s="572">
        <v>420</v>
      </c>
      <c r="M25" s="649">
        <v>104</v>
      </c>
      <c r="N25" s="17">
        <f>O25+P25</f>
        <v>4</v>
      </c>
      <c r="O25" s="574">
        <v>2</v>
      </c>
      <c r="P25" s="573">
        <v>2</v>
      </c>
    </row>
    <row r="26" spans="1:16" ht="16.5" customHeight="1">
      <c r="A26" s="208" t="s">
        <v>47</v>
      </c>
      <c r="B26" s="17">
        <f>SUM(B21:B25)</f>
        <v>6916</v>
      </c>
      <c r="C26" s="644">
        <f>SUM(C21:C25)</f>
        <v>3538</v>
      </c>
      <c r="D26" s="644">
        <f>SUM(D21:D25)</f>
        <v>3378</v>
      </c>
      <c r="E26" s="15" t="s">
        <v>48</v>
      </c>
      <c r="F26" s="17">
        <f>SUM(F21:F25)</f>
        <v>8524</v>
      </c>
      <c r="G26" s="644">
        <f>SUM(G21:G25)</f>
        <v>4215</v>
      </c>
      <c r="H26" s="572">
        <f>SUM(H21:H25)</f>
        <v>4309</v>
      </c>
      <c r="I26" s="16" t="s">
        <v>49</v>
      </c>
      <c r="J26" s="17">
        <f>SUM(J21:J25)</f>
        <v>4468</v>
      </c>
      <c r="K26" s="644">
        <f>SUM(K21:K25)</f>
        <v>2142</v>
      </c>
      <c r="L26" s="644">
        <f>SUM(L21:L25)</f>
        <v>2326</v>
      </c>
      <c r="M26" s="15" t="s">
        <v>50</v>
      </c>
      <c r="N26" s="17">
        <f>SUM(N21:N25)</f>
        <v>42</v>
      </c>
      <c r="O26" s="644">
        <f>SUM(O21:O25)</f>
        <v>5</v>
      </c>
      <c r="P26" s="573">
        <f>SUM(P21:P25)</f>
        <v>37</v>
      </c>
    </row>
    <row r="27" spans="1:16" ht="16.5" customHeight="1">
      <c r="A27" s="208"/>
      <c r="B27" s="17"/>
      <c r="C27" s="644"/>
      <c r="D27" s="572"/>
      <c r="E27" s="15"/>
      <c r="F27" s="17"/>
      <c r="G27" s="644"/>
      <c r="H27" s="572"/>
      <c r="I27" s="15"/>
      <c r="J27" s="17"/>
      <c r="K27" s="644"/>
      <c r="L27" s="572"/>
      <c r="M27" s="15"/>
      <c r="N27" s="17"/>
      <c r="O27" s="644"/>
      <c r="P27" s="573"/>
    </row>
    <row r="28" spans="1:16" ht="16.5" customHeight="1">
      <c r="A28" s="207">
        <v>15</v>
      </c>
      <c r="B28" s="17">
        <f>SUM(C28:D28)</f>
        <v>1410</v>
      </c>
      <c r="C28" s="644">
        <v>731</v>
      </c>
      <c r="D28" s="572">
        <v>679</v>
      </c>
      <c r="E28" s="649">
        <v>45</v>
      </c>
      <c r="F28" s="17">
        <f>SUM(G28:H28)</f>
        <v>1899</v>
      </c>
      <c r="G28" s="644">
        <v>908</v>
      </c>
      <c r="H28" s="572">
        <v>991</v>
      </c>
      <c r="I28" s="649">
        <v>75</v>
      </c>
      <c r="J28" s="17">
        <f>K28+L28</f>
        <v>845</v>
      </c>
      <c r="K28" s="644">
        <v>383</v>
      </c>
      <c r="L28" s="572">
        <v>462</v>
      </c>
      <c r="M28" s="15" t="s">
        <v>51</v>
      </c>
      <c r="N28" s="17">
        <f>SUM(O28:P28)</f>
        <v>5</v>
      </c>
      <c r="O28" s="675">
        <v>0</v>
      </c>
      <c r="P28" s="573">
        <v>5</v>
      </c>
    </row>
    <row r="29" spans="1:16" ht="16.5" customHeight="1">
      <c r="A29" s="207">
        <v>16</v>
      </c>
      <c r="B29" s="17">
        <f t="shared" ref="B29:B32" si="6">SUM(C29:D29)</f>
        <v>1412</v>
      </c>
      <c r="C29" s="644">
        <v>734</v>
      </c>
      <c r="D29" s="572">
        <v>678</v>
      </c>
      <c r="E29" s="649">
        <v>46</v>
      </c>
      <c r="F29" s="17">
        <f t="shared" ref="F29:F32" si="7">SUM(G29:H29)</f>
        <v>1808</v>
      </c>
      <c r="G29" s="644">
        <v>920</v>
      </c>
      <c r="H29" s="572">
        <v>888</v>
      </c>
      <c r="I29" s="649">
        <v>76</v>
      </c>
      <c r="J29" s="17">
        <f>K29+L29</f>
        <v>800</v>
      </c>
      <c r="K29" s="644">
        <v>364</v>
      </c>
      <c r="L29" s="572">
        <v>436</v>
      </c>
      <c r="M29" s="15"/>
      <c r="N29" s="17"/>
      <c r="O29" s="644"/>
      <c r="P29" s="573"/>
    </row>
    <row r="30" spans="1:16" ht="16.5" customHeight="1">
      <c r="A30" s="207">
        <v>17</v>
      </c>
      <c r="B30" s="17">
        <f t="shared" si="6"/>
        <v>1471</v>
      </c>
      <c r="C30" s="644">
        <v>739</v>
      </c>
      <c r="D30" s="572">
        <v>732</v>
      </c>
      <c r="E30" s="649">
        <v>47</v>
      </c>
      <c r="F30" s="17">
        <f t="shared" si="7"/>
        <v>1770</v>
      </c>
      <c r="G30" s="644">
        <v>853</v>
      </c>
      <c r="H30" s="572">
        <v>917</v>
      </c>
      <c r="I30" s="649">
        <v>77</v>
      </c>
      <c r="J30" s="17">
        <f>K30+L30</f>
        <v>924</v>
      </c>
      <c r="K30" s="644">
        <v>406</v>
      </c>
      <c r="L30" s="572">
        <v>518</v>
      </c>
      <c r="M30" s="15"/>
      <c r="N30" s="17"/>
      <c r="O30" s="644"/>
      <c r="P30" s="573"/>
    </row>
    <row r="31" spans="1:16" ht="16.5" customHeight="1">
      <c r="A31" s="207">
        <v>18</v>
      </c>
      <c r="B31" s="17">
        <f t="shared" si="6"/>
        <v>1388</v>
      </c>
      <c r="C31" s="644">
        <v>683</v>
      </c>
      <c r="D31" s="572">
        <v>705</v>
      </c>
      <c r="E31" s="649">
        <v>48</v>
      </c>
      <c r="F31" s="17">
        <f t="shared" si="7"/>
        <v>1670</v>
      </c>
      <c r="G31" s="644">
        <v>789</v>
      </c>
      <c r="H31" s="572">
        <v>881</v>
      </c>
      <c r="I31" s="649">
        <v>78</v>
      </c>
      <c r="J31" s="17">
        <f>K31+L31</f>
        <v>852</v>
      </c>
      <c r="K31" s="644">
        <v>392</v>
      </c>
      <c r="L31" s="572">
        <v>460</v>
      </c>
      <c r="M31" s="15" t="s">
        <v>52</v>
      </c>
      <c r="N31" s="17"/>
      <c r="O31" s="644"/>
      <c r="P31" s="573"/>
    </row>
    <row r="32" spans="1:16" ht="16.5" customHeight="1">
      <c r="A32" s="207">
        <v>19</v>
      </c>
      <c r="B32" s="17">
        <f t="shared" si="6"/>
        <v>1328</v>
      </c>
      <c r="C32" s="644">
        <v>672</v>
      </c>
      <c r="D32" s="572">
        <v>656</v>
      </c>
      <c r="E32" s="649">
        <v>49</v>
      </c>
      <c r="F32" s="17">
        <f t="shared" si="7"/>
        <v>1659</v>
      </c>
      <c r="G32" s="644">
        <v>840</v>
      </c>
      <c r="H32" s="572">
        <v>819</v>
      </c>
      <c r="I32" s="649">
        <v>79</v>
      </c>
      <c r="J32" s="17">
        <f>K32+L32</f>
        <v>790</v>
      </c>
      <c r="K32" s="644">
        <v>354</v>
      </c>
      <c r="L32" s="572">
        <v>436</v>
      </c>
      <c r="M32" s="15" t="s">
        <v>53</v>
      </c>
      <c r="N32" s="17">
        <f>SUM(O32:P32)</f>
        <v>87375</v>
      </c>
      <c r="O32" s="644">
        <f>SUM(C40+C47+G12+G19+G26+G33+G40+G47+K12+K19+K26+K33+K40+K47+O12+O19+O26+O28)</f>
        <v>41997</v>
      </c>
      <c r="P32" s="573">
        <f>SUM(D40+D47+H12+H19+H26+H33+H40+H47+L12+L19+L26+L33+L40+L47+P12+P19+P26+P28)</f>
        <v>45378</v>
      </c>
    </row>
    <row r="33" spans="1:19" ht="16.5" customHeight="1">
      <c r="A33" s="208" t="s">
        <v>54</v>
      </c>
      <c r="B33" s="17">
        <f>SUM(B28:B32)</f>
        <v>7009</v>
      </c>
      <c r="C33" s="644">
        <f>SUM(C28:C32)</f>
        <v>3559</v>
      </c>
      <c r="D33" s="644">
        <f>SUM(D28:D32)</f>
        <v>3450</v>
      </c>
      <c r="E33" s="15" t="s">
        <v>55</v>
      </c>
      <c r="F33" s="17">
        <f>SUM(F28:F32)</f>
        <v>8806</v>
      </c>
      <c r="G33" s="644">
        <f>SUM(G28:G32)</f>
        <v>4310</v>
      </c>
      <c r="H33" s="572">
        <f>SUM(H28:H32)</f>
        <v>4496</v>
      </c>
      <c r="I33" s="15" t="s">
        <v>56</v>
      </c>
      <c r="J33" s="17">
        <f>SUM(J28:J32)</f>
        <v>4211</v>
      </c>
      <c r="K33" s="644">
        <f>SUM(K28:K32)</f>
        <v>1899</v>
      </c>
      <c r="L33" s="644">
        <f>SUM(L28:L32)</f>
        <v>2312</v>
      </c>
      <c r="M33" s="15" t="s">
        <v>57</v>
      </c>
      <c r="N33" s="17">
        <f>SUM(O33:P33)</f>
        <v>51588</v>
      </c>
      <c r="O33" s="644">
        <f>SUM(C33+C40+C47+G12+G19+G26+G33)</f>
        <v>25692</v>
      </c>
      <c r="P33" s="573">
        <f>SUM(D33+D40+D47+H12+H19+H26+H33)</f>
        <v>25896</v>
      </c>
    </row>
    <row r="34" spans="1:19" ht="16.5" customHeight="1">
      <c r="A34" s="208"/>
      <c r="B34" s="17"/>
      <c r="C34" s="644"/>
      <c r="D34" s="572"/>
      <c r="E34" s="15"/>
      <c r="F34" s="17"/>
      <c r="G34" s="644"/>
      <c r="H34" s="572"/>
      <c r="I34" s="15"/>
      <c r="J34" s="17"/>
      <c r="K34" s="644"/>
      <c r="L34" s="572"/>
      <c r="M34" s="15" t="s">
        <v>58</v>
      </c>
      <c r="N34" s="17">
        <f>SUM(O34:P34)</f>
        <v>28250</v>
      </c>
      <c r="O34" s="644">
        <f>SUM(K12+K19+K26+K33+K40+K47+O12+O19+O26+O28)</f>
        <v>12792</v>
      </c>
      <c r="P34" s="573">
        <f>SUM(L12+L19+L26+L33+L40+L47+P12+P19+P26+P28)</f>
        <v>15458</v>
      </c>
    </row>
    <row r="35" spans="1:19" ht="16.5" customHeight="1">
      <c r="A35" s="207">
        <v>20</v>
      </c>
      <c r="B35" s="17">
        <f>SUM(C35:D35)</f>
        <v>1349</v>
      </c>
      <c r="C35" s="644">
        <v>708</v>
      </c>
      <c r="D35" s="572">
        <v>641</v>
      </c>
      <c r="E35" s="649">
        <v>50</v>
      </c>
      <c r="F35" s="17">
        <f>SUM(G35:H35)</f>
        <v>1727</v>
      </c>
      <c r="G35" s="644">
        <v>835</v>
      </c>
      <c r="H35" s="572">
        <v>892</v>
      </c>
      <c r="I35" s="649">
        <v>80</v>
      </c>
      <c r="J35" s="17">
        <f>K35+L35</f>
        <v>711</v>
      </c>
      <c r="K35" s="644">
        <v>335</v>
      </c>
      <c r="L35" s="572">
        <v>376</v>
      </c>
      <c r="M35" s="15" t="s">
        <v>59</v>
      </c>
      <c r="N35" s="17">
        <f>SUM(O35:P35)</f>
        <v>14910</v>
      </c>
      <c r="O35" s="644">
        <f>SUM(K26+K33+K40+K47+O12+O19+O26+O28)</f>
        <v>6355</v>
      </c>
      <c r="P35" s="573">
        <f>SUM(L26+L33+L40+L47+P12+P19+P26+P28)</f>
        <v>8555</v>
      </c>
    </row>
    <row r="36" spans="1:19" ht="16.5" customHeight="1">
      <c r="A36" s="207">
        <v>21</v>
      </c>
      <c r="B36" s="17">
        <f t="shared" ref="B36:B39" si="8">SUM(C36:D36)</f>
        <v>1266</v>
      </c>
      <c r="C36" s="644">
        <v>657</v>
      </c>
      <c r="D36" s="572">
        <v>609</v>
      </c>
      <c r="E36" s="649">
        <v>51</v>
      </c>
      <c r="F36" s="17">
        <f t="shared" ref="F36:F39" si="9">SUM(G36:H36)</f>
        <v>1701</v>
      </c>
      <c r="G36" s="644">
        <v>835</v>
      </c>
      <c r="H36" s="572">
        <v>866</v>
      </c>
      <c r="I36" s="649">
        <v>81</v>
      </c>
      <c r="J36" s="17">
        <f>K36+L36</f>
        <v>700</v>
      </c>
      <c r="K36" s="644">
        <v>288</v>
      </c>
      <c r="L36" s="572">
        <v>412</v>
      </c>
      <c r="M36" s="15" t="s">
        <v>60</v>
      </c>
      <c r="N36" s="17">
        <f>SUM(O36:P36)</f>
        <v>10442</v>
      </c>
      <c r="O36" s="644">
        <f>SUM(K33+K40+K47+O12+O19+O26+O28)</f>
        <v>4213</v>
      </c>
      <c r="P36" s="573">
        <f>SUM(L33+L40+L47+P12+P19+P26+P28)</f>
        <v>6229</v>
      </c>
      <c r="R36" s="667"/>
      <c r="S36" s="667"/>
    </row>
    <row r="37" spans="1:19" ht="16.5" customHeight="1">
      <c r="A37" s="207">
        <v>22</v>
      </c>
      <c r="B37" s="17">
        <f t="shared" si="8"/>
        <v>1236</v>
      </c>
      <c r="C37" s="644">
        <v>643</v>
      </c>
      <c r="D37" s="572">
        <v>593</v>
      </c>
      <c r="E37" s="649">
        <v>52</v>
      </c>
      <c r="F37" s="17">
        <f t="shared" si="9"/>
        <v>1316</v>
      </c>
      <c r="G37" s="644">
        <v>629</v>
      </c>
      <c r="H37" s="572">
        <v>687</v>
      </c>
      <c r="I37" s="649">
        <v>82</v>
      </c>
      <c r="J37" s="17">
        <f>K37+L37</f>
        <v>680</v>
      </c>
      <c r="K37" s="644">
        <v>286</v>
      </c>
      <c r="L37" s="572">
        <v>394</v>
      </c>
      <c r="M37" s="15"/>
      <c r="N37" s="17"/>
      <c r="O37" s="644"/>
      <c r="P37" s="573"/>
    </row>
    <row r="38" spans="1:19" ht="16.5" customHeight="1">
      <c r="A38" s="207">
        <v>23</v>
      </c>
      <c r="B38" s="17">
        <f t="shared" si="8"/>
        <v>1271</v>
      </c>
      <c r="C38" s="644">
        <v>650</v>
      </c>
      <c r="D38" s="572">
        <v>621</v>
      </c>
      <c r="E38" s="649">
        <v>53</v>
      </c>
      <c r="F38" s="17">
        <f t="shared" si="9"/>
        <v>1402</v>
      </c>
      <c r="G38" s="644">
        <v>678</v>
      </c>
      <c r="H38" s="572">
        <v>724</v>
      </c>
      <c r="I38" s="649">
        <v>83</v>
      </c>
      <c r="J38" s="17">
        <f>K38+L38</f>
        <v>616</v>
      </c>
      <c r="K38" s="644">
        <v>248</v>
      </c>
      <c r="L38" s="572">
        <v>368</v>
      </c>
      <c r="M38" s="15" t="s">
        <v>61</v>
      </c>
      <c r="N38" s="17">
        <f>SUM(O38:P38)</f>
        <v>20147</v>
      </c>
      <c r="O38" s="644">
        <f>SUM(C12+C19+C26)</f>
        <v>10268</v>
      </c>
      <c r="P38" s="573">
        <f>SUM(D12+D19+D26)</f>
        <v>9879</v>
      </c>
    </row>
    <row r="39" spans="1:19" ht="16.5" customHeight="1">
      <c r="A39" s="207">
        <v>24</v>
      </c>
      <c r="B39" s="17">
        <f t="shared" si="8"/>
        <v>1221</v>
      </c>
      <c r="C39" s="644">
        <v>617</v>
      </c>
      <c r="D39" s="572">
        <v>604</v>
      </c>
      <c r="E39" s="649">
        <v>54</v>
      </c>
      <c r="F39" s="17">
        <f t="shared" si="9"/>
        <v>1451</v>
      </c>
      <c r="G39" s="644">
        <v>722</v>
      </c>
      <c r="H39" s="572">
        <v>729</v>
      </c>
      <c r="I39" s="649">
        <v>84</v>
      </c>
      <c r="J39" s="17">
        <f>K39+L39</f>
        <v>583</v>
      </c>
      <c r="K39" s="644">
        <v>220</v>
      </c>
      <c r="L39" s="572">
        <v>363</v>
      </c>
      <c r="M39" s="15" t="s">
        <v>62</v>
      </c>
      <c r="N39" s="17">
        <f>SUM(O39:P39)</f>
        <v>72606</v>
      </c>
      <c r="O39" s="644">
        <f>SUM(C33+C40+C47+G12+G19+G26+G33+G40+G47+K12)</f>
        <v>35916</v>
      </c>
      <c r="P39" s="573">
        <f>SUM(D33+D40+D47+H12+H19+H26+H33+H40+H47+L12)</f>
        <v>36690</v>
      </c>
    </row>
    <row r="40" spans="1:19" ht="16.5" customHeight="1">
      <c r="A40" s="208" t="s">
        <v>63</v>
      </c>
      <c r="B40" s="17">
        <f>SUM(B35:B39)</f>
        <v>6343</v>
      </c>
      <c r="C40" s="644">
        <f>SUM(C35:C39)</f>
        <v>3275</v>
      </c>
      <c r="D40" s="644">
        <f>SUM(D35:D39)</f>
        <v>3068</v>
      </c>
      <c r="E40" s="15" t="s">
        <v>64</v>
      </c>
      <c r="F40" s="17">
        <f>SUM(F35:F39)</f>
        <v>7597</v>
      </c>
      <c r="G40" s="644">
        <f>SUM(G35:G39)</f>
        <v>3699</v>
      </c>
      <c r="H40" s="572">
        <f>SUM(H35:H39)</f>
        <v>3898</v>
      </c>
      <c r="I40" s="15" t="s">
        <v>65</v>
      </c>
      <c r="J40" s="17">
        <f>SUM(J35:J39)</f>
        <v>3290</v>
      </c>
      <c r="K40" s="644">
        <f>SUM(K35:K39)</f>
        <v>1377</v>
      </c>
      <c r="L40" s="644">
        <f>SUM(L35:L39)</f>
        <v>1913</v>
      </c>
      <c r="M40" s="15" t="s">
        <v>66</v>
      </c>
      <c r="N40" s="17">
        <f>SUM(O40:P40)</f>
        <v>21778</v>
      </c>
      <c r="O40" s="644">
        <f>SUM(K19+K26+K33+K40+K47+O12+O19+O26+O28)</f>
        <v>9640</v>
      </c>
      <c r="P40" s="573">
        <f>SUM(L19+L26+L33+L40+L47+P12+P19+P26+P28)</f>
        <v>12138</v>
      </c>
    </row>
    <row r="41" spans="1:19" ht="16.5" customHeight="1">
      <c r="A41" s="208"/>
      <c r="B41" s="17"/>
      <c r="C41" s="644"/>
      <c r="D41" s="572"/>
      <c r="E41" s="15"/>
      <c r="F41" s="17"/>
      <c r="G41" s="644"/>
      <c r="H41" s="572"/>
      <c r="I41" s="15"/>
      <c r="J41" s="17"/>
      <c r="K41" s="644"/>
      <c r="L41" s="572"/>
      <c r="M41" s="15"/>
      <c r="N41" s="15"/>
      <c r="O41" s="567"/>
      <c r="P41" s="199"/>
    </row>
    <row r="42" spans="1:19" ht="16.5" customHeight="1">
      <c r="A42" s="207">
        <v>25</v>
      </c>
      <c r="B42" s="17">
        <f>SUM(C42:D42)</f>
        <v>1265</v>
      </c>
      <c r="C42" s="644">
        <v>638</v>
      </c>
      <c r="D42" s="572">
        <v>627</v>
      </c>
      <c r="E42" s="649">
        <v>55</v>
      </c>
      <c r="F42" s="17">
        <f>SUM(G42:H42)</f>
        <v>1454</v>
      </c>
      <c r="G42" s="644">
        <v>683</v>
      </c>
      <c r="H42" s="572">
        <v>771</v>
      </c>
      <c r="I42" s="649">
        <v>85</v>
      </c>
      <c r="J42" s="17">
        <f>K42+L42</f>
        <v>476</v>
      </c>
      <c r="K42" s="644">
        <v>197</v>
      </c>
      <c r="L42" s="572">
        <v>279</v>
      </c>
      <c r="M42" s="649" t="s">
        <v>67</v>
      </c>
      <c r="N42" s="15"/>
      <c r="O42" s="567"/>
      <c r="P42" s="199"/>
    </row>
    <row r="43" spans="1:19" ht="16.5" customHeight="1">
      <c r="A43" s="207">
        <v>26</v>
      </c>
      <c r="B43" s="17">
        <f t="shared" ref="B43:B46" si="10">SUM(C43:D43)</f>
        <v>1193</v>
      </c>
      <c r="C43" s="644">
        <v>605</v>
      </c>
      <c r="D43" s="572">
        <v>588</v>
      </c>
      <c r="E43" s="649">
        <v>56</v>
      </c>
      <c r="F43" s="17">
        <f t="shared" ref="F43:F46" si="11">SUM(G43:H43)</f>
        <v>1367</v>
      </c>
      <c r="G43" s="644">
        <v>655</v>
      </c>
      <c r="H43" s="572">
        <v>712</v>
      </c>
      <c r="I43" s="649">
        <v>86</v>
      </c>
      <c r="J43" s="17">
        <f>K43+L43</f>
        <v>460</v>
      </c>
      <c r="K43" s="644">
        <v>171</v>
      </c>
      <c r="L43" s="572">
        <v>289</v>
      </c>
      <c r="M43" s="15" t="s">
        <v>61</v>
      </c>
      <c r="N43" s="575">
        <f>N38/$B$5</f>
        <v>0.17590870593987654</v>
      </c>
      <c r="O43" s="576">
        <f>O38/$B$5</f>
        <v>8.9652583143428416E-2</v>
      </c>
      <c r="P43" s="577">
        <f t="shared" ref="N43:P45" si="12">P38/$B$5</f>
        <v>8.625612279644812E-2</v>
      </c>
    </row>
    <row r="44" spans="1:19" ht="16.5" customHeight="1">
      <c r="A44" s="207">
        <v>27</v>
      </c>
      <c r="B44" s="17">
        <f t="shared" si="10"/>
        <v>1281</v>
      </c>
      <c r="C44" s="644">
        <v>643</v>
      </c>
      <c r="D44" s="572">
        <v>638</v>
      </c>
      <c r="E44" s="649">
        <v>57</v>
      </c>
      <c r="F44" s="17">
        <f t="shared" si="11"/>
        <v>1428</v>
      </c>
      <c r="G44" s="644">
        <v>690</v>
      </c>
      <c r="H44" s="572">
        <v>738</v>
      </c>
      <c r="I44" s="649">
        <v>87</v>
      </c>
      <c r="J44" s="17">
        <f>K44+L44</f>
        <v>344</v>
      </c>
      <c r="K44" s="644">
        <v>114</v>
      </c>
      <c r="L44" s="572">
        <v>230</v>
      </c>
      <c r="M44" s="15" t="s">
        <v>62</v>
      </c>
      <c r="N44" s="575">
        <f t="shared" si="12"/>
        <v>0.63394190219241953</v>
      </c>
      <c r="O44" s="576">
        <f t="shared" si="12"/>
        <v>0.31359195327029366</v>
      </c>
      <c r="P44" s="577">
        <f t="shared" si="12"/>
        <v>0.32034994892212587</v>
      </c>
    </row>
    <row r="45" spans="1:19" ht="16.5" customHeight="1">
      <c r="A45" s="207">
        <v>28</v>
      </c>
      <c r="B45" s="17">
        <f t="shared" si="10"/>
        <v>1282</v>
      </c>
      <c r="C45" s="644">
        <v>653</v>
      </c>
      <c r="D45" s="572">
        <v>629</v>
      </c>
      <c r="E45" s="649">
        <v>58</v>
      </c>
      <c r="F45" s="17">
        <f t="shared" si="11"/>
        <v>1372</v>
      </c>
      <c r="G45" s="644">
        <v>692</v>
      </c>
      <c r="H45" s="572">
        <v>680</v>
      </c>
      <c r="I45" s="649">
        <v>88</v>
      </c>
      <c r="J45" s="17">
        <f>K45+L45</f>
        <v>311</v>
      </c>
      <c r="K45" s="644">
        <v>115</v>
      </c>
      <c r="L45" s="572">
        <v>196</v>
      </c>
      <c r="M45" s="15" t="s">
        <v>66</v>
      </c>
      <c r="N45" s="575">
        <f t="shared" si="12"/>
        <v>0.19014939186770394</v>
      </c>
      <c r="O45" s="576">
        <f t="shared" si="12"/>
        <v>8.4169351529280276E-2</v>
      </c>
      <c r="P45" s="577">
        <f t="shared" si="12"/>
        <v>0.10598004033842366</v>
      </c>
    </row>
    <row r="46" spans="1:19" ht="16.5" customHeight="1">
      <c r="A46" s="207">
        <v>29</v>
      </c>
      <c r="B46" s="17">
        <f t="shared" si="10"/>
        <v>1271</v>
      </c>
      <c r="C46" s="644">
        <v>614</v>
      </c>
      <c r="D46" s="572">
        <v>657</v>
      </c>
      <c r="E46" s="649">
        <v>59</v>
      </c>
      <c r="F46" s="17">
        <f t="shared" si="11"/>
        <v>1328</v>
      </c>
      <c r="G46" s="644">
        <v>653</v>
      </c>
      <c r="H46" s="572">
        <v>675</v>
      </c>
      <c r="I46" s="649">
        <v>89</v>
      </c>
      <c r="J46" s="17">
        <f>K46+L46</f>
        <v>258</v>
      </c>
      <c r="K46" s="644">
        <v>81</v>
      </c>
      <c r="L46" s="572">
        <v>177</v>
      </c>
      <c r="M46" s="15"/>
      <c r="N46" s="578"/>
      <c r="O46" s="579"/>
      <c r="P46" s="580"/>
    </row>
    <row r="47" spans="1:19" ht="16.5" customHeight="1">
      <c r="A47" s="208" t="s">
        <v>68</v>
      </c>
      <c r="B47" s="17">
        <f>SUM(B42:B46)</f>
        <v>6292</v>
      </c>
      <c r="C47" s="644">
        <f>SUM(C42:C46)</f>
        <v>3153</v>
      </c>
      <c r="D47" s="644">
        <f>SUM(D42:D46)</f>
        <v>3139</v>
      </c>
      <c r="E47" s="15" t="s">
        <v>69</v>
      </c>
      <c r="F47" s="17">
        <f>SUM(F42:F46)</f>
        <v>6949</v>
      </c>
      <c r="G47" s="644">
        <f>SUM(G42:G46)</f>
        <v>3373</v>
      </c>
      <c r="H47" s="572">
        <f>SUM(H42:H46)</f>
        <v>3576</v>
      </c>
      <c r="I47" s="15" t="s">
        <v>70</v>
      </c>
      <c r="J47" s="17">
        <f>SUM(J42:J46)</f>
        <v>1849</v>
      </c>
      <c r="K47" s="644">
        <f>SUM(K42:K46)</f>
        <v>678</v>
      </c>
      <c r="L47" s="644">
        <f>SUM(L42:L46)</f>
        <v>1171</v>
      </c>
      <c r="M47" s="15" t="s">
        <v>71</v>
      </c>
      <c r="N47" s="672">
        <v>40.83</v>
      </c>
      <c r="O47" s="673">
        <v>39.64</v>
      </c>
      <c r="P47" s="674">
        <v>41.96</v>
      </c>
    </row>
    <row r="48" spans="1:19" ht="16.5" customHeight="1" thickBot="1">
      <c r="A48" s="211"/>
      <c r="B48" s="581"/>
      <c r="C48" s="646"/>
      <c r="D48" s="582"/>
      <c r="E48" s="212"/>
      <c r="F48" s="581"/>
      <c r="G48" s="646"/>
      <c r="H48" s="582"/>
      <c r="I48" s="212"/>
      <c r="J48" s="212"/>
      <c r="K48" s="583"/>
      <c r="L48" s="584"/>
      <c r="M48" s="212"/>
      <c r="N48" s="212"/>
      <c r="O48" s="583"/>
      <c r="P48" s="585"/>
    </row>
    <row r="49" spans="1:16" ht="18" customHeight="1">
      <c r="A49" s="13" t="s">
        <v>72</v>
      </c>
      <c r="B49" s="665"/>
      <c r="C49" s="665"/>
      <c r="D49" s="665"/>
      <c r="E49" s="13"/>
      <c r="F49" s="665"/>
      <c r="G49" s="665"/>
      <c r="H49" s="665"/>
      <c r="I49" s="668"/>
      <c r="J49" s="669"/>
      <c r="K49" s="669"/>
      <c r="L49" s="665"/>
      <c r="M49" s="13"/>
      <c r="N49" s="669"/>
      <c r="P49" s="14" t="s">
        <v>647</v>
      </c>
    </row>
  </sheetData>
  <sheetProtection sheet="1" objects="1" scenarios="1"/>
  <phoneticPr fontId="17"/>
  <printOptions horizontalCentered="1"/>
  <pageMargins left="0.59055118110236227" right="0.39370078740157483" top="0.59055118110236227" bottom="0.59055118110236227" header="0.39370078740157483" footer="0.39370078740157483"/>
  <pageSetup paperSize="9" firstPageNumber="0" orientation="portrait" verticalDpi="300" r:id="rId1"/>
  <headerFooter scaleWithDoc="0" alignWithMargins="0">
    <oddHeader>&amp;R&amp;"ＭＳ 明朝,標準"&amp;10人　口</oddHeader>
    <oddFooter>&amp;C&amp;"ＭＳ 明朝,標準"&amp;12&amp;A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58"/>
  <sheetViews>
    <sheetView view="pageBreakPreview" zoomScaleNormal="120" zoomScaleSheetLayoutView="100" workbookViewId="0">
      <pane ySplit="5" topLeftCell="A6" activePane="bottomLeft" state="frozen"/>
      <selection activeCell="A6" sqref="A6"/>
      <selection pane="bottomLeft" activeCell="D7" sqref="D7"/>
    </sheetView>
  </sheetViews>
  <sheetFormatPr defaultRowHeight="14.1" customHeight="1"/>
  <cols>
    <col min="1" max="1" width="2.875" style="677" customWidth="1"/>
    <col min="2" max="2" width="14.125" style="677" customWidth="1"/>
    <col min="3" max="3" width="9.125" style="677" customWidth="1"/>
    <col min="4" max="4" width="10.375" style="677" customWidth="1"/>
    <col min="5" max="5" width="9.125" style="677" customWidth="1"/>
    <col min="6" max="6" width="10.125" style="677" customWidth="1"/>
    <col min="7" max="8" width="9.125" style="677" customWidth="1"/>
    <col min="9" max="9" width="10.375" style="677" bestFit="1" customWidth="1"/>
    <col min="10" max="10" width="9.875" style="677" customWidth="1"/>
    <col min="11" max="16384" width="9" style="677"/>
  </cols>
  <sheetData>
    <row r="1" spans="1:10" ht="4.5" customHeight="1">
      <c r="A1" s="676"/>
      <c r="B1" s="676"/>
      <c r="C1" s="676"/>
      <c r="D1" s="676"/>
      <c r="E1" s="676"/>
      <c r="F1" s="676"/>
      <c r="G1" s="676"/>
      <c r="H1" s="676"/>
      <c r="I1" s="676"/>
      <c r="J1" s="676"/>
    </row>
    <row r="2" spans="1:10" ht="14.1" customHeight="1" thickBot="1">
      <c r="A2" s="676" t="s">
        <v>73</v>
      </c>
      <c r="B2" s="676"/>
      <c r="C2" s="676"/>
      <c r="D2" s="676"/>
      <c r="E2" s="676"/>
      <c r="F2" s="676"/>
      <c r="G2" s="676"/>
      <c r="H2" s="676"/>
      <c r="I2" s="676"/>
      <c r="J2" s="678" t="s">
        <v>74</v>
      </c>
    </row>
    <row r="3" spans="1:10" ht="14.1" customHeight="1">
      <c r="A3" s="771" t="s">
        <v>75</v>
      </c>
      <c r="B3" s="772"/>
      <c r="C3" s="768" t="s">
        <v>12</v>
      </c>
      <c r="D3" s="768" t="s">
        <v>76</v>
      </c>
      <c r="E3" s="768" t="s">
        <v>12</v>
      </c>
      <c r="F3" s="768" t="s">
        <v>708</v>
      </c>
      <c r="G3" s="768"/>
      <c r="H3" s="768"/>
      <c r="I3" s="197" t="s">
        <v>77</v>
      </c>
      <c r="J3" s="198" t="s">
        <v>78</v>
      </c>
    </row>
    <row r="4" spans="1:10" ht="14.1" customHeight="1">
      <c r="A4" s="773"/>
      <c r="B4" s="774"/>
      <c r="C4" s="769"/>
      <c r="D4" s="769"/>
      <c r="E4" s="769"/>
      <c r="F4" s="769"/>
      <c r="G4" s="769"/>
      <c r="H4" s="769"/>
      <c r="I4" s="195" t="s">
        <v>525</v>
      </c>
      <c r="J4" s="199"/>
    </row>
    <row r="5" spans="1:10" ht="14.1" customHeight="1">
      <c r="A5" s="773"/>
      <c r="B5" s="774"/>
      <c r="C5" s="635" t="s">
        <v>668</v>
      </c>
      <c r="D5" s="635" t="s">
        <v>676</v>
      </c>
      <c r="E5" s="635" t="s">
        <v>675</v>
      </c>
      <c r="F5" s="635" t="s">
        <v>27</v>
      </c>
      <c r="G5" s="635" t="s">
        <v>15</v>
      </c>
      <c r="H5" s="635" t="s">
        <v>16</v>
      </c>
      <c r="I5" s="196" t="s">
        <v>79</v>
      </c>
      <c r="J5" s="365" t="s">
        <v>675</v>
      </c>
    </row>
    <row r="6" spans="1:10" ht="14.1" customHeight="1">
      <c r="A6" s="775" t="s">
        <v>80</v>
      </c>
      <c r="B6" s="776"/>
      <c r="C6" s="684">
        <f>C7+C14+C22+C28+C33+C39+C47+C55</f>
        <v>48916</v>
      </c>
      <c r="D6" s="684">
        <v>114372</v>
      </c>
      <c r="E6" s="684">
        <f>E7+E14+E22+E28+E33+E39+E47+E55</f>
        <v>49610</v>
      </c>
      <c r="F6" s="684">
        <f>SUM(G6:H6)</f>
        <v>114531</v>
      </c>
      <c r="G6" s="684">
        <f>G7+G14+G22+G28+G33+G39+G47+G55</f>
        <v>55824</v>
      </c>
      <c r="H6" s="684">
        <f>H7+H14+H22+H28+H33+H39+H47+H55</f>
        <v>58707</v>
      </c>
      <c r="I6" s="685">
        <f>F6-D6</f>
        <v>159</v>
      </c>
      <c r="J6" s="686">
        <f>100/$F$6*F6*10</f>
        <v>1000</v>
      </c>
    </row>
    <row r="7" spans="1:10" ht="14.1" customHeight="1">
      <c r="A7" s="777" t="s">
        <v>81</v>
      </c>
      <c r="B7" s="687" t="s">
        <v>82</v>
      </c>
      <c r="C7" s="464">
        <f>SUM(C8:C13)</f>
        <v>3551</v>
      </c>
      <c r="D7" s="464">
        <v>8212</v>
      </c>
      <c r="E7" s="464">
        <f>SUM(E8:E13)</f>
        <v>3611</v>
      </c>
      <c r="F7" s="464">
        <f t="shared" ref="F7:F13" si="0">SUM(G7:H7)</f>
        <v>8179</v>
      </c>
      <c r="G7" s="464">
        <f>SUM(G8:G13)</f>
        <v>3941</v>
      </c>
      <c r="H7" s="464">
        <f>SUM(H8:H13)</f>
        <v>4238</v>
      </c>
      <c r="I7" s="679">
        <f>F7-D7</f>
        <v>-33</v>
      </c>
      <c r="J7" s="680">
        <f>100/$F$6*F7*10</f>
        <v>71.412979891907</v>
      </c>
    </row>
    <row r="8" spans="1:10" ht="14.1" customHeight="1">
      <c r="A8" s="778"/>
      <c r="B8" s="201" t="s">
        <v>83</v>
      </c>
      <c r="C8" s="464">
        <v>1958</v>
      </c>
      <c r="D8" s="464">
        <v>4502</v>
      </c>
      <c r="E8" s="464">
        <v>1980</v>
      </c>
      <c r="F8" s="464">
        <f t="shared" si="0"/>
        <v>4490</v>
      </c>
      <c r="G8" s="464">
        <v>2198</v>
      </c>
      <c r="H8" s="464">
        <v>2292</v>
      </c>
      <c r="I8" s="679">
        <f>F8-D8</f>
        <v>-12</v>
      </c>
      <c r="J8" s="680">
        <f>100/$F$6*F8*10</f>
        <v>39.203359789052747</v>
      </c>
    </row>
    <row r="9" spans="1:10" ht="14.1" customHeight="1">
      <c r="A9" s="778"/>
      <c r="B9" s="201" t="s">
        <v>84</v>
      </c>
      <c r="C9" s="464">
        <v>144</v>
      </c>
      <c r="D9" s="464">
        <v>320</v>
      </c>
      <c r="E9" s="464">
        <v>144</v>
      </c>
      <c r="F9" s="464">
        <f t="shared" si="0"/>
        <v>319</v>
      </c>
      <c r="G9" s="464">
        <v>148</v>
      </c>
      <c r="H9" s="464">
        <v>171</v>
      </c>
      <c r="I9" s="679">
        <f t="shared" ref="I9:I37" si="1">F9-D9</f>
        <v>-1</v>
      </c>
      <c r="J9" s="680">
        <f t="shared" ref="J9:J55" si="2">100/$F$6*F9*10</f>
        <v>2.7852721097344824</v>
      </c>
    </row>
    <row r="10" spans="1:10" ht="14.1" customHeight="1">
      <c r="A10" s="778"/>
      <c r="B10" s="201" t="s">
        <v>85</v>
      </c>
      <c r="C10" s="464">
        <v>440</v>
      </c>
      <c r="D10" s="464">
        <v>905</v>
      </c>
      <c r="E10" s="464">
        <v>436</v>
      </c>
      <c r="F10" s="464">
        <f t="shared" si="0"/>
        <v>877</v>
      </c>
      <c r="G10" s="464">
        <v>414</v>
      </c>
      <c r="H10" s="464">
        <v>463</v>
      </c>
      <c r="I10" s="679">
        <f t="shared" si="1"/>
        <v>-28</v>
      </c>
      <c r="J10" s="680">
        <f t="shared" si="2"/>
        <v>7.6573154866368052</v>
      </c>
    </row>
    <row r="11" spans="1:10" ht="14.1" customHeight="1">
      <c r="A11" s="778"/>
      <c r="B11" s="202" t="s">
        <v>86</v>
      </c>
      <c r="C11" s="464">
        <v>596</v>
      </c>
      <c r="D11" s="464">
        <v>1424</v>
      </c>
      <c r="E11" s="464">
        <v>647</v>
      </c>
      <c r="F11" s="464">
        <f t="shared" si="0"/>
        <v>1467</v>
      </c>
      <c r="G11" s="464">
        <v>706</v>
      </c>
      <c r="H11" s="464">
        <v>761</v>
      </c>
      <c r="I11" s="679">
        <f t="shared" si="1"/>
        <v>43</v>
      </c>
      <c r="J11" s="680">
        <f t="shared" si="2"/>
        <v>12.808759200565786</v>
      </c>
    </row>
    <row r="12" spans="1:10" ht="14.1" customHeight="1">
      <c r="A12" s="778"/>
      <c r="B12" s="201" t="s">
        <v>526</v>
      </c>
      <c r="C12" s="464">
        <v>236</v>
      </c>
      <c r="D12" s="464">
        <v>625</v>
      </c>
      <c r="E12" s="464">
        <v>239</v>
      </c>
      <c r="F12" s="464">
        <f t="shared" si="0"/>
        <v>616</v>
      </c>
      <c r="G12" s="464">
        <v>293</v>
      </c>
      <c r="H12" s="464">
        <v>323</v>
      </c>
      <c r="I12" s="679">
        <f t="shared" si="1"/>
        <v>-9</v>
      </c>
      <c r="J12" s="680">
        <f t="shared" si="2"/>
        <v>5.3784564877631382</v>
      </c>
    </row>
    <row r="13" spans="1:10" ht="14.1" customHeight="1">
      <c r="A13" s="779"/>
      <c r="B13" s="203" t="s">
        <v>87</v>
      </c>
      <c r="C13" s="464">
        <v>177</v>
      </c>
      <c r="D13" s="464">
        <v>436</v>
      </c>
      <c r="E13" s="464">
        <v>165</v>
      </c>
      <c r="F13" s="464">
        <f t="shared" si="0"/>
        <v>410</v>
      </c>
      <c r="G13" s="464">
        <v>182</v>
      </c>
      <c r="H13" s="464">
        <v>228</v>
      </c>
      <c r="I13" s="679">
        <f>F13-D13</f>
        <v>-26</v>
      </c>
      <c r="J13" s="680">
        <f t="shared" si="2"/>
        <v>3.5798168181540371</v>
      </c>
    </row>
    <row r="14" spans="1:10" ht="14.1" customHeight="1">
      <c r="A14" s="777" t="s">
        <v>462</v>
      </c>
      <c r="B14" s="201" t="s">
        <v>82</v>
      </c>
      <c r="C14" s="464">
        <f>SUM(C15:C21)</f>
        <v>8657</v>
      </c>
      <c r="D14" s="464">
        <v>21257</v>
      </c>
      <c r="E14" s="464">
        <f>SUM(E15:E21)</f>
        <v>8908</v>
      </c>
      <c r="F14" s="464">
        <f>SUM(F15:F21)</f>
        <v>21647</v>
      </c>
      <c r="G14" s="464">
        <f>SUM(G15:G21)</f>
        <v>10391</v>
      </c>
      <c r="H14" s="464">
        <f>SUM(H15:H21)</f>
        <v>11256</v>
      </c>
      <c r="I14" s="679">
        <f>F14-D14</f>
        <v>390</v>
      </c>
      <c r="J14" s="680">
        <f t="shared" si="2"/>
        <v>189.00559673800106</v>
      </c>
    </row>
    <row r="15" spans="1:10" ht="14.1" customHeight="1">
      <c r="A15" s="778"/>
      <c r="B15" s="201" t="s">
        <v>88</v>
      </c>
      <c r="C15" s="464">
        <v>2187</v>
      </c>
      <c r="D15" s="464">
        <v>5509</v>
      </c>
      <c r="E15" s="464">
        <v>2239</v>
      </c>
      <c r="F15" s="464">
        <f t="shared" ref="F15:F21" si="3">SUM(G15:H15)</f>
        <v>5613</v>
      </c>
      <c r="G15" s="464">
        <v>2694</v>
      </c>
      <c r="H15" s="464">
        <v>2919</v>
      </c>
      <c r="I15" s="679">
        <f t="shared" si="1"/>
        <v>104</v>
      </c>
      <c r="J15" s="680">
        <f t="shared" si="2"/>
        <v>49.008565366581969</v>
      </c>
    </row>
    <row r="16" spans="1:10" ht="14.1" customHeight="1">
      <c r="A16" s="778"/>
      <c r="B16" s="201" t="s">
        <v>89</v>
      </c>
      <c r="C16" s="464">
        <v>73</v>
      </c>
      <c r="D16" s="464">
        <v>140</v>
      </c>
      <c r="E16" s="464">
        <v>69</v>
      </c>
      <c r="F16" s="464">
        <f t="shared" si="3"/>
        <v>133</v>
      </c>
      <c r="G16" s="464">
        <v>63</v>
      </c>
      <c r="H16" s="464">
        <v>70</v>
      </c>
      <c r="I16" s="679">
        <f t="shared" si="1"/>
        <v>-7</v>
      </c>
      <c r="J16" s="680">
        <f t="shared" si="2"/>
        <v>1.1612576507670411</v>
      </c>
    </row>
    <row r="17" spans="1:10" ht="14.1" customHeight="1">
      <c r="A17" s="778"/>
      <c r="B17" s="201" t="s">
        <v>90</v>
      </c>
      <c r="C17" s="464">
        <v>1731</v>
      </c>
      <c r="D17" s="464">
        <v>4312</v>
      </c>
      <c r="E17" s="464">
        <v>1737</v>
      </c>
      <c r="F17" s="464">
        <f t="shared" si="3"/>
        <v>4264</v>
      </c>
      <c r="G17" s="464">
        <v>2055</v>
      </c>
      <c r="H17" s="464">
        <v>2209</v>
      </c>
      <c r="I17" s="679">
        <f t="shared" si="1"/>
        <v>-48</v>
      </c>
      <c r="J17" s="680">
        <f t="shared" si="2"/>
        <v>37.230094908801988</v>
      </c>
    </row>
    <row r="18" spans="1:10" ht="14.1" customHeight="1">
      <c r="A18" s="778"/>
      <c r="B18" s="201" t="s">
        <v>91</v>
      </c>
      <c r="C18" s="464">
        <v>1593</v>
      </c>
      <c r="D18" s="464">
        <v>3781</v>
      </c>
      <c r="E18" s="464">
        <v>1661</v>
      </c>
      <c r="F18" s="464">
        <f t="shared" si="3"/>
        <v>3800</v>
      </c>
      <c r="G18" s="464">
        <v>1832</v>
      </c>
      <c r="H18" s="464">
        <v>1968</v>
      </c>
      <c r="I18" s="679">
        <f t="shared" si="1"/>
        <v>19</v>
      </c>
      <c r="J18" s="680">
        <f t="shared" si="2"/>
        <v>33.178790021915468</v>
      </c>
    </row>
    <row r="19" spans="1:10" ht="14.1" customHeight="1">
      <c r="A19" s="778"/>
      <c r="B19" s="201" t="s">
        <v>92</v>
      </c>
      <c r="C19" s="464">
        <v>2005</v>
      </c>
      <c r="D19" s="464">
        <v>4970</v>
      </c>
      <c r="E19" s="464">
        <v>2142</v>
      </c>
      <c r="F19" s="464">
        <f t="shared" si="3"/>
        <v>5325</v>
      </c>
      <c r="G19" s="464">
        <v>2538</v>
      </c>
      <c r="H19" s="464">
        <v>2787</v>
      </c>
      <c r="I19" s="679">
        <f t="shared" si="1"/>
        <v>355</v>
      </c>
      <c r="J19" s="680">
        <f t="shared" si="2"/>
        <v>46.493962333342068</v>
      </c>
    </row>
    <row r="20" spans="1:10" ht="14.1" customHeight="1">
      <c r="A20" s="778"/>
      <c r="B20" s="201" t="s">
        <v>93</v>
      </c>
      <c r="C20" s="464">
        <v>900</v>
      </c>
      <c r="D20" s="464">
        <v>2175</v>
      </c>
      <c r="E20" s="464">
        <v>898</v>
      </c>
      <c r="F20" s="464">
        <f t="shared" si="3"/>
        <v>2154</v>
      </c>
      <c r="G20" s="464">
        <v>1053</v>
      </c>
      <c r="H20" s="464">
        <v>1101</v>
      </c>
      <c r="I20" s="679">
        <f t="shared" si="1"/>
        <v>-21</v>
      </c>
      <c r="J20" s="680">
        <f t="shared" si="2"/>
        <v>18.807135186106819</v>
      </c>
    </row>
    <row r="21" spans="1:10" ht="14.1" customHeight="1">
      <c r="A21" s="779"/>
      <c r="B21" s="564" t="s">
        <v>650</v>
      </c>
      <c r="C21" s="464">
        <v>168</v>
      </c>
      <c r="D21" s="681">
        <v>370</v>
      </c>
      <c r="E21" s="464">
        <v>162</v>
      </c>
      <c r="F21" s="464">
        <f t="shared" si="3"/>
        <v>358</v>
      </c>
      <c r="G21" s="464">
        <v>156</v>
      </c>
      <c r="H21" s="464">
        <v>202</v>
      </c>
      <c r="I21" s="679">
        <f t="shared" si="1"/>
        <v>-12</v>
      </c>
      <c r="J21" s="680">
        <f t="shared" si="2"/>
        <v>3.12579127048572</v>
      </c>
    </row>
    <row r="22" spans="1:10" ht="14.1" customHeight="1">
      <c r="A22" s="770" t="s">
        <v>463</v>
      </c>
      <c r="B22" s="201" t="s">
        <v>82</v>
      </c>
      <c r="C22" s="464">
        <f t="shared" ref="C22" si="4">SUM(C23:C27)</f>
        <v>12326</v>
      </c>
      <c r="D22" s="464">
        <v>26688</v>
      </c>
      <c r="E22" s="464">
        <f t="shared" ref="E22:H22" si="5">SUM(E23:E27)</f>
        <v>12422</v>
      </c>
      <c r="F22" s="464">
        <f t="shared" si="5"/>
        <v>26472</v>
      </c>
      <c r="G22" s="464">
        <f t="shared" si="5"/>
        <v>12895</v>
      </c>
      <c r="H22" s="464">
        <f t="shared" si="5"/>
        <v>13577</v>
      </c>
      <c r="I22" s="679">
        <f t="shared" si="1"/>
        <v>-216</v>
      </c>
      <c r="J22" s="680">
        <f t="shared" si="2"/>
        <v>231.13392880530165</v>
      </c>
    </row>
    <row r="23" spans="1:10" ht="14.1" customHeight="1">
      <c r="A23" s="770"/>
      <c r="B23" s="201" t="s">
        <v>94</v>
      </c>
      <c r="C23" s="464">
        <v>2196</v>
      </c>
      <c r="D23" s="464">
        <v>4705</v>
      </c>
      <c r="E23" s="464">
        <v>2170</v>
      </c>
      <c r="F23" s="464">
        <f>SUM(G23:H23)</f>
        <v>4636</v>
      </c>
      <c r="G23" s="464">
        <v>2210</v>
      </c>
      <c r="H23" s="464">
        <v>2426</v>
      </c>
      <c r="I23" s="679">
        <f t="shared" si="1"/>
        <v>-69</v>
      </c>
      <c r="J23" s="680">
        <f t="shared" si="2"/>
        <v>40.478123826736869</v>
      </c>
    </row>
    <row r="24" spans="1:10" ht="14.1" customHeight="1">
      <c r="A24" s="770"/>
      <c r="B24" s="201" t="s">
        <v>95</v>
      </c>
      <c r="C24" s="464">
        <v>2105</v>
      </c>
      <c r="D24" s="464">
        <v>4413</v>
      </c>
      <c r="E24" s="464">
        <v>2136</v>
      </c>
      <c r="F24" s="464">
        <f>SUM(G24:H24)</f>
        <v>4403</v>
      </c>
      <c r="G24" s="464">
        <v>2129</v>
      </c>
      <c r="H24" s="464">
        <v>2274</v>
      </c>
      <c r="I24" s="679">
        <f t="shared" si="1"/>
        <v>-10</v>
      </c>
      <c r="J24" s="680">
        <f t="shared" si="2"/>
        <v>38.443740122761525</v>
      </c>
    </row>
    <row r="25" spans="1:10" ht="14.1" customHeight="1">
      <c r="A25" s="770"/>
      <c r="B25" s="201" t="s">
        <v>96</v>
      </c>
      <c r="C25" s="464">
        <v>4360</v>
      </c>
      <c r="D25" s="464">
        <v>9989</v>
      </c>
      <c r="E25" s="464">
        <v>4359</v>
      </c>
      <c r="F25" s="464">
        <f>SUM(G25:H25)</f>
        <v>9908</v>
      </c>
      <c r="G25" s="464">
        <v>4866</v>
      </c>
      <c r="H25" s="464">
        <v>5042</v>
      </c>
      <c r="I25" s="679">
        <f t="shared" si="1"/>
        <v>-81</v>
      </c>
      <c r="J25" s="680">
        <f t="shared" si="2"/>
        <v>86.509329351878534</v>
      </c>
    </row>
    <row r="26" spans="1:10" ht="14.1" customHeight="1">
      <c r="A26" s="770"/>
      <c r="B26" s="201" t="s">
        <v>97</v>
      </c>
      <c r="C26" s="464">
        <v>1772</v>
      </c>
      <c r="D26" s="464">
        <v>3200</v>
      </c>
      <c r="E26" s="464">
        <v>1815</v>
      </c>
      <c r="F26" s="464">
        <f>SUM(G26:H26)</f>
        <v>3186</v>
      </c>
      <c r="G26" s="464">
        <v>1595</v>
      </c>
      <c r="H26" s="464">
        <v>1591</v>
      </c>
      <c r="I26" s="679">
        <f t="shared" si="1"/>
        <v>-14</v>
      </c>
      <c r="J26" s="680">
        <f t="shared" si="2"/>
        <v>27.81779605521649</v>
      </c>
    </row>
    <row r="27" spans="1:10" ht="14.1" customHeight="1">
      <c r="A27" s="770"/>
      <c r="B27" s="203" t="s">
        <v>98</v>
      </c>
      <c r="C27" s="464">
        <v>1893</v>
      </c>
      <c r="D27" s="464">
        <v>4381</v>
      </c>
      <c r="E27" s="464">
        <v>1942</v>
      </c>
      <c r="F27" s="464">
        <f>SUM(G27:H27)</f>
        <v>4339</v>
      </c>
      <c r="G27" s="464">
        <v>2095</v>
      </c>
      <c r="H27" s="464">
        <v>2244</v>
      </c>
      <c r="I27" s="679">
        <f t="shared" si="1"/>
        <v>-42</v>
      </c>
      <c r="J27" s="680">
        <f t="shared" si="2"/>
        <v>37.884939448708209</v>
      </c>
    </row>
    <row r="28" spans="1:10" ht="14.1" customHeight="1">
      <c r="A28" s="770" t="s">
        <v>99</v>
      </c>
      <c r="B28" s="201" t="s">
        <v>82</v>
      </c>
      <c r="C28" s="464">
        <f t="shared" ref="C28" si="6">SUM(C29:C32)</f>
        <v>8511</v>
      </c>
      <c r="D28" s="464">
        <v>19540</v>
      </c>
      <c r="E28" s="464">
        <f t="shared" ref="E28:H28" si="7">SUM(E29:E32)</f>
        <v>8634</v>
      </c>
      <c r="F28" s="464">
        <f t="shared" si="7"/>
        <v>19557</v>
      </c>
      <c r="G28" s="464">
        <f t="shared" si="7"/>
        <v>9558</v>
      </c>
      <c r="H28" s="464">
        <f t="shared" si="7"/>
        <v>9999</v>
      </c>
      <c r="I28" s="679">
        <f t="shared" si="1"/>
        <v>17</v>
      </c>
      <c r="J28" s="680">
        <f t="shared" si="2"/>
        <v>170.75726222594756</v>
      </c>
    </row>
    <row r="29" spans="1:10" ht="14.1" customHeight="1">
      <c r="A29" s="770"/>
      <c r="B29" s="201" t="s">
        <v>100</v>
      </c>
      <c r="C29" s="464">
        <v>499</v>
      </c>
      <c r="D29" s="464">
        <v>1231</v>
      </c>
      <c r="E29" s="464">
        <v>503</v>
      </c>
      <c r="F29" s="464">
        <f>SUM(G29:H29)</f>
        <v>1245</v>
      </c>
      <c r="G29" s="464">
        <v>585</v>
      </c>
      <c r="H29" s="464">
        <v>660</v>
      </c>
      <c r="I29" s="679">
        <f t="shared" si="1"/>
        <v>14</v>
      </c>
      <c r="J29" s="680">
        <f t="shared" si="2"/>
        <v>10.870419362443355</v>
      </c>
    </row>
    <row r="30" spans="1:10" ht="14.1" customHeight="1">
      <c r="A30" s="770"/>
      <c r="B30" s="201" t="s">
        <v>101</v>
      </c>
      <c r="C30" s="464">
        <v>1981</v>
      </c>
      <c r="D30" s="464">
        <v>4293</v>
      </c>
      <c r="E30" s="464">
        <v>2017</v>
      </c>
      <c r="F30" s="464">
        <f>SUM(G30:H30)</f>
        <v>4316</v>
      </c>
      <c r="G30" s="464">
        <v>2173</v>
      </c>
      <c r="H30" s="464">
        <v>2143</v>
      </c>
      <c r="I30" s="679">
        <f t="shared" si="1"/>
        <v>23</v>
      </c>
      <c r="J30" s="680">
        <f t="shared" si="2"/>
        <v>37.684120456470303</v>
      </c>
    </row>
    <row r="31" spans="1:10" ht="14.1" customHeight="1">
      <c r="A31" s="770"/>
      <c r="B31" s="201" t="s">
        <v>102</v>
      </c>
      <c r="C31" s="464">
        <v>1924</v>
      </c>
      <c r="D31" s="464">
        <v>4441</v>
      </c>
      <c r="E31" s="464">
        <v>1934</v>
      </c>
      <c r="F31" s="464">
        <f>SUM(G31:H31)</f>
        <v>4396</v>
      </c>
      <c r="G31" s="464">
        <v>2132</v>
      </c>
      <c r="H31" s="464">
        <v>2264</v>
      </c>
      <c r="I31" s="679">
        <f t="shared" si="1"/>
        <v>-45</v>
      </c>
      <c r="J31" s="680">
        <f t="shared" si="2"/>
        <v>38.382621299036941</v>
      </c>
    </row>
    <row r="32" spans="1:10" ht="14.1" customHeight="1">
      <c r="A32" s="770"/>
      <c r="B32" s="203" t="s">
        <v>103</v>
      </c>
      <c r="C32" s="464">
        <v>4107</v>
      </c>
      <c r="D32" s="464">
        <v>9575</v>
      </c>
      <c r="E32" s="464">
        <v>4180</v>
      </c>
      <c r="F32" s="464">
        <f>SUM(G32:H32)</f>
        <v>9600</v>
      </c>
      <c r="G32" s="464">
        <v>4668</v>
      </c>
      <c r="H32" s="464">
        <v>4932</v>
      </c>
      <c r="I32" s="679">
        <f t="shared" si="1"/>
        <v>25</v>
      </c>
      <c r="J32" s="680">
        <f t="shared" si="2"/>
        <v>83.820101107996962</v>
      </c>
    </row>
    <row r="33" spans="1:10" ht="14.1" customHeight="1">
      <c r="A33" s="770" t="s">
        <v>464</v>
      </c>
      <c r="B33" s="201" t="s">
        <v>82</v>
      </c>
      <c r="C33" s="464">
        <f t="shared" ref="C33" si="8">SUM(C34:C38)</f>
        <v>3260</v>
      </c>
      <c r="D33" s="464">
        <v>7801</v>
      </c>
      <c r="E33" s="464">
        <f t="shared" ref="E33:H33" si="9">SUM(E34:E38)</f>
        <v>3276</v>
      </c>
      <c r="F33" s="464">
        <f t="shared" si="9"/>
        <v>7758</v>
      </c>
      <c r="G33" s="464">
        <f t="shared" si="9"/>
        <v>3769</v>
      </c>
      <c r="H33" s="464">
        <f t="shared" si="9"/>
        <v>3989</v>
      </c>
      <c r="I33" s="679">
        <f t="shared" si="1"/>
        <v>-43</v>
      </c>
      <c r="J33" s="680">
        <f t="shared" si="2"/>
        <v>67.737119207900051</v>
      </c>
    </row>
    <row r="34" spans="1:10" ht="14.1" customHeight="1">
      <c r="A34" s="770"/>
      <c r="B34" s="201" t="s">
        <v>104</v>
      </c>
      <c r="C34" s="464">
        <v>1163</v>
      </c>
      <c r="D34" s="464">
        <v>2845</v>
      </c>
      <c r="E34" s="464">
        <v>1175</v>
      </c>
      <c r="F34" s="464">
        <f>SUM(G34:H34)</f>
        <v>2847</v>
      </c>
      <c r="G34" s="464">
        <v>1379</v>
      </c>
      <c r="H34" s="464">
        <v>1468</v>
      </c>
      <c r="I34" s="679">
        <f t="shared" si="1"/>
        <v>2</v>
      </c>
      <c r="J34" s="680">
        <f t="shared" si="2"/>
        <v>24.857898734840347</v>
      </c>
    </row>
    <row r="35" spans="1:10" ht="14.1" customHeight="1">
      <c r="A35" s="770"/>
      <c r="B35" s="201" t="s">
        <v>105</v>
      </c>
      <c r="C35" s="464">
        <v>396</v>
      </c>
      <c r="D35" s="464">
        <v>996</v>
      </c>
      <c r="E35" s="464">
        <v>401</v>
      </c>
      <c r="F35" s="464">
        <f>SUM(G35:H35)</f>
        <v>993</v>
      </c>
      <c r="G35" s="464">
        <v>469</v>
      </c>
      <c r="H35" s="464">
        <v>524</v>
      </c>
      <c r="I35" s="679">
        <f t="shared" si="1"/>
        <v>-3</v>
      </c>
      <c r="J35" s="680">
        <f t="shared" si="2"/>
        <v>8.670141708358436</v>
      </c>
    </row>
    <row r="36" spans="1:10" ht="14.1" customHeight="1">
      <c r="A36" s="770"/>
      <c r="B36" s="201" t="s">
        <v>106</v>
      </c>
      <c r="C36" s="464">
        <v>644</v>
      </c>
      <c r="D36" s="464">
        <v>1498</v>
      </c>
      <c r="E36" s="464">
        <v>650</v>
      </c>
      <c r="F36" s="464">
        <f>SUM(G36:H36)</f>
        <v>1489</v>
      </c>
      <c r="G36" s="464">
        <v>731</v>
      </c>
      <c r="H36" s="464">
        <v>758</v>
      </c>
      <c r="I36" s="679">
        <f t="shared" si="1"/>
        <v>-9</v>
      </c>
      <c r="J36" s="680">
        <f t="shared" si="2"/>
        <v>13.000846932271612</v>
      </c>
    </row>
    <row r="37" spans="1:10" ht="14.1" customHeight="1">
      <c r="A37" s="770"/>
      <c r="B37" s="201" t="s">
        <v>107</v>
      </c>
      <c r="C37" s="464">
        <v>927</v>
      </c>
      <c r="D37" s="464">
        <v>2134</v>
      </c>
      <c r="E37" s="464">
        <v>924</v>
      </c>
      <c r="F37" s="464">
        <f>SUM(G37:H37)</f>
        <v>2110</v>
      </c>
      <c r="G37" s="464">
        <v>1026</v>
      </c>
      <c r="H37" s="464">
        <v>1084</v>
      </c>
      <c r="I37" s="679">
        <f t="shared" si="1"/>
        <v>-24</v>
      </c>
      <c r="J37" s="680">
        <f t="shared" si="2"/>
        <v>18.422959722695168</v>
      </c>
    </row>
    <row r="38" spans="1:10" ht="14.1" customHeight="1">
      <c r="A38" s="770"/>
      <c r="B38" s="203" t="s">
        <v>108</v>
      </c>
      <c r="C38" s="464">
        <v>130</v>
      </c>
      <c r="D38" s="464">
        <v>328</v>
      </c>
      <c r="E38" s="464">
        <v>126</v>
      </c>
      <c r="F38" s="464">
        <f>SUM(G38:H38)</f>
        <v>319</v>
      </c>
      <c r="G38" s="464">
        <v>164</v>
      </c>
      <c r="H38" s="464">
        <v>155</v>
      </c>
      <c r="I38" s="679">
        <f>F38-D38</f>
        <v>-9</v>
      </c>
      <c r="J38" s="680">
        <f t="shared" si="2"/>
        <v>2.7852721097344824</v>
      </c>
    </row>
    <row r="39" spans="1:10" ht="14.1" customHeight="1">
      <c r="A39" s="770" t="s">
        <v>465</v>
      </c>
      <c r="B39" s="201" t="s">
        <v>82</v>
      </c>
      <c r="C39" s="464">
        <f t="shared" ref="C39" si="10">SUM(C40:C46)</f>
        <v>6990</v>
      </c>
      <c r="D39" s="464">
        <v>16967</v>
      </c>
      <c r="E39" s="464">
        <f t="shared" ref="E39:H39" si="11">SUM(E40:E46)</f>
        <v>7058</v>
      </c>
      <c r="F39" s="464">
        <f t="shared" si="11"/>
        <v>17033</v>
      </c>
      <c r="G39" s="464">
        <f t="shared" si="11"/>
        <v>8302</v>
      </c>
      <c r="H39" s="464">
        <f t="shared" si="11"/>
        <v>8731</v>
      </c>
      <c r="I39" s="679">
        <f t="shared" ref="I39:I55" si="12">F39-D39</f>
        <v>66</v>
      </c>
      <c r="J39" s="680">
        <f t="shared" si="2"/>
        <v>148.71956064297001</v>
      </c>
    </row>
    <row r="40" spans="1:10" ht="14.1" customHeight="1">
      <c r="A40" s="770"/>
      <c r="B40" s="201" t="s">
        <v>109</v>
      </c>
      <c r="C40" s="464">
        <v>2224</v>
      </c>
      <c r="D40" s="464">
        <v>5300</v>
      </c>
      <c r="E40" s="464">
        <v>2191</v>
      </c>
      <c r="F40" s="464">
        <f t="shared" ref="F40:F46" si="13">SUM(G40:H40)</f>
        <v>5254</v>
      </c>
      <c r="G40" s="464">
        <v>2568</v>
      </c>
      <c r="H40" s="464">
        <v>2686</v>
      </c>
      <c r="I40" s="679">
        <f t="shared" si="12"/>
        <v>-46</v>
      </c>
      <c r="J40" s="680">
        <f t="shared" si="2"/>
        <v>45.874042835564168</v>
      </c>
    </row>
    <row r="41" spans="1:10" ht="14.1" customHeight="1">
      <c r="A41" s="770"/>
      <c r="B41" s="201" t="s">
        <v>110</v>
      </c>
      <c r="C41" s="464">
        <v>843</v>
      </c>
      <c r="D41" s="464">
        <v>1938</v>
      </c>
      <c r="E41" s="464">
        <v>847</v>
      </c>
      <c r="F41" s="464">
        <f t="shared" si="13"/>
        <v>1938</v>
      </c>
      <c r="G41" s="464">
        <v>950</v>
      </c>
      <c r="H41" s="464">
        <v>988</v>
      </c>
      <c r="I41" s="679">
        <f t="shared" si="12"/>
        <v>0</v>
      </c>
      <c r="J41" s="680">
        <f t="shared" si="2"/>
        <v>16.921182911176885</v>
      </c>
    </row>
    <row r="42" spans="1:10" ht="14.1" customHeight="1">
      <c r="A42" s="770"/>
      <c r="B42" s="202" t="s">
        <v>111</v>
      </c>
      <c r="C42" s="464">
        <v>113</v>
      </c>
      <c r="D42" s="464">
        <v>273</v>
      </c>
      <c r="E42" s="464">
        <v>66</v>
      </c>
      <c r="F42" s="464">
        <f t="shared" si="13"/>
        <v>186</v>
      </c>
      <c r="G42" s="464">
        <v>88</v>
      </c>
      <c r="H42" s="464">
        <v>98</v>
      </c>
      <c r="I42" s="679">
        <f t="shared" si="12"/>
        <v>-87</v>
      </c>
      <c r="J42" s="680">
        <f t="shared" si="2"/>
        <v>1.6240144589674412</v>
      </c>
    </row>
    <row r="43" spans="1:10" ht="14.1" customHeight="1">
      <c r="A43" s="770"/>
      <c r="B43" s="201" t="s">
        <v>112</v>
      </c>
      <c r="C43" s="464">
        <v>1935</v>
      </c>
      <c r="D43" s="464">
        <v>4606</v>
      </c>
      <c r="E43" s="464">
        <v>2059</v>
      </c>
      <c r="F43" s="464">
        <f t="shared" si="13"/>
        <v>4838</v>
      </c>
      <c r="G43" s="464">
        <v>2351</v>
      </c>
      <c r="H43" s="464">
        <v>2487</v>
      </c>
      <c r="I43" s="679">
        <f t="shared" si="12"/>
        <v>232</v>
      </c>
      <c r="J43" s="680">
        <f t="shared" si="2"/>
        <v>42.241838454217636</v>
      </c>
    </row>
    <row r="44" spans="1:10" ht="14.1" customHeight="1">
      <c r="A44" s="770"/>
      <c r="B44" s="201" t="s">
        <v>113</v>
      </c>
      <c r="C44" s="464">
        <v>1651</v>
      </c>
      <c r="D44" s="464">
        <v>4285</v>
      </c>
      <c r="E44" s="464">
        <v>1674</v>
      </c>
      <c r="F44" s="464">
        <f t="shared" si="13"/>
        <v>4266</v>
      </c>
      <c r="G44" s="464">
        <v>2090</v>
      </c>
      <c r="H44" s="464">
        <v>2176</v>
      </c>
      <c r="I44" s="679">
        <f t="shared" si="12"/>
        <v>-19</v>
      </c>
      <c r="J44" s="680">
        <f t="shared" si="2"/>
        <v>37.247557429866148</v>
      </c>
    </row>
    <row r="45" spans="1:10" ht="14.1" customHeight="1">
      <c r="A45" s="770"/>
      <c r="B45" s="204" t="s">
        <v>114</v>
      </c>
      <c r="C45" s="464">
        <v>102</v>
      </c>
      <c r="D45" s="464">
        <v>276</v>
      </c>
      <c r="E45" s="464">
        <v>99</v>
      </c>
      <c r="F45" s="464">
        <f t="shared" si="13"/>
        <v>254</v>
      </c>
      <c r="G45" s="464">
        <v>120</v>
      </c>
      <c r="H45" s="464">
        <v>134</v>
      </c>
      <c r="I45" s="679">
        <f t="shared" si="12"/>
        <v>-22</v>
      </c>
      <c r="J45" s="680">
        <f t="shared" si="2"/>
        <v>2.2177401751490864</v>
      </c>
    </row>
    <row r="46" spans="1:10" ht="14.1" customHeight="1">
      <c r="A46" s="770"/>
      <c r="B46" s="203" t="s">
        <v>115</v>
      </c>
      <c r="C46" s="464">
        <v>122</v>
      </c>
      <c r="D46" s="464">
        <v>289</v>
      </c>
      <c r="E46" s="464">
        <v>122</v>
      </c>
      <c r="F46" s="464">
        <f t="shared" si="13"/>
        <v>297</v>
      </c>
      <c r="G46" s="464">
        <v>135</v>
      </c>
      <c r="H46" s="464">
        <v>162</v>
      </c>
      <c r="I46" s="679">
        <f t="shared" si="12"/>
        <v>8</v>
      </c>
      <c r="J46" s="680">
        <f t="shared" si="2"/>
        <v>2.5931843780286563</v>
      </c>
    </row>
    <row r="47" spans="1:10" ht="14.1" customHeight="1">
      <c r="A47" s="770" t="s">
        <v>466</v>
      </c>
      <c r="B47" s="201" t="s">
        <v>82</v>
      </c>
      <c r="C47" s="464">
        <f>SUM(C48:C54)</f>
        <v>5584</v>
      </c>
      <c r="D47" s="464">
        <v>13826</v>
      </c>
      <c r="E47" s="464">
        <f>SUM(E48:E54)</f>
        <v>5669</v>
      </c>
      <c r="F47" s="464">
        <f t="shared" ref="F47:H47" si="14">SUM(F48:F54)</f>
        <v>13813</v>
      </c>
      <c r="G47" s="464">
        <f t="shared" si="14"/>
        <v>6942</v>
      </c>
      <c r="H47" s="464">
        <f t="shared" si="14"/>
        <v>6871</v>
      </c>
      <c r="I47" s="679">
        <f t="shared" si="12"/>
        <v>-13</v>
      </c>
      <c r="J47" s="680">
        <f t="shared" si="2"/>
        <v>120.60490172966271</v>
      </c>
    </row>
    <row r="48" spans="1:10" ht="14.1" customHeight="1">
      <c r="A48" s="770"/>
      <c r="B48" s="201" t="s">
        <v>116</v>
      </c>
      <c r="C48" s="464">
        <v>932</v>
      </c>
      <c r="D48" s="464">
        <v>2248</v>
      </c>
      <c r="E48" s="464">
        <v>932</v>
      </c>
      <c r="F48" s="464">
        <f>SUM(G48:H48)</f>
        <v>2244</v>
      </c>
      <c r="G48" s="464">
        <v>1098</v>
      </c>
      <c r="H48" s="464">
        <v>1146</v>
      </c>
      <c r="I48" s="679">
        <f t="shared" si="12"/>
        <v>-4</v>
      </c>
      <c r="J48" s="680">
        <f t="shared" si="2"/>
        <v>19.59294863399429</v>
      </c>
    </row>
    <row r="49" spans="1:10" ht="14.1" customHeight="1">
      <c r="A49" s="770"/>
      <c r="B49" s="201" t="s">
        <v>117</v>
      </c>
      <c r="C49" s="464">
        <v>1255</v>
      </c>
      <c r="D49" s="464">
        <v>2906</v>
      </c>
      <c r="E49" s="464">
        <v>1267</v>
      </c>
      <c r="F49" s="464">
        <f t="shared" ref="F49:F55" si="15">SUM(G49:H49)</f>
        <v>2882</v>
      </c>
      <c r="G49" s="464">
        <v>1491</v>
      </c>
      <c r="H49" s="464">
        <v>1391</v>
      </c>
      <c r="I49" s="679">
        <f t="shared" si="12"/>
        <v>-24</v>
      </c>
      <c r="J49" s="680">
        <f t="shared" si="2"/>
        <v>25.163492853463257</v>
      </c>
    </row>
    <row r="50" spans="1:10" ht="14.1" customHeight="1">
      <c r="A50" s="770"/>
      <c r="B50" s="201" t="s">
        <v>118</v>
      </c>
      <c r="C50" s="464">
        <v>672</v>
      </c>
      <c r="D50" s="464">
        <v>1711</v>
      </c>
      <c r="E50" s="464">
        <v>696</v>
      </c>
      <c r="F50" s="464">
        <f t="shared" si="15"/>
        <v>1736</v>
      </c>
      <c r="G50" s="464">
        <v>851</v>
      </c>
      <c r="H50" s="464">
        <v>885</v>
      </c>
      <c r="I50" s="679">
        <f t="shared" si="12"/>
        <v>25</v>
      </c>
      <c r="J50" s="680">
        <f>100/$F$6*F50*10</f>
        <v>15.157468283696119</v>
      </c>
    </row>
    <row r="51" spans="1:10" ht="14.1" customHeight="1">
      <c r="A51" s="770"/>
      <c r="B51" s="201" t="s">
        <v>119</v>
      </c>
      <c r="C51" s="464">
        <v>386</v>
      </c>
      <c r="D51" s="464">
        <v>787</v>
      </c>
      <c r="E51" s="464">
        <v>394</v>
      </c>
      <c r="F51" s="464">
        <f t="shared" si="15"/>
        <v>781</v>
      </c>
      <c r="G51" s="464">
        <v>407</v>
      </c>
      <c r="H51" s="464">
        <v>374</v>
      </c>
      <c r="I51" s="679">
        <f t="shared" si="12"/>
        <v>-6</v>
      </c>
      <c r="J51" s="680">
        <f t="shared" si="2"/>
        <v>6.8191144755568365</v>
      </c>
    </row>
    <row r="52" spans="1:10" ht="14.1" customHeight="1">
      <c r="A52" s="770"/>
      <c r="B52" s="201" t="s">
        <v>120</v>
      </c>
      <c r="C52" s="464">
        <v>1070</v>
      </c>
      <c r="D52" s="464">
        <v>2931</v>
      </c>
      <c r="E52" s="464">
        <v>1202</v>
      </c>
      <c r="F52" s="464">
        <f t="shared" si="15"/>
        <v>3188</v>
      </c>
      <c r="G52" s="464">
        <v>1604</v>
      </c>
      <c r="H52" s="464">
        <v>1584</v>
      </c>
      <c r="I52" s="679">
        <f t="shared" si="12"/>
        <v>257</v>
      </c>
      <c r="J52" s="680">
        <f t="shared" si="2"/>
        <v>27.835258576280658</v>
      </c>
    </row>
    <row r="53" spans="1:10" ht="14.1" customHeight="1">
      <c r="A53" s="770"/>
      <c r="B53" s="201" t="s">
        <v>121</v>
      </c>
      <c r="C53" s="464">
        <v>682</v>
      </c>
      <c r="D53" s="464">
        <v>1853</v>
      </c>
      <c r="E53" s="464">
        <v>700</v>
      </c>
      <c r="F53" s="464">
        <f t="shared" si="15"/>
        <v>1834</v>
      </c>
      <c r="G53" s="464">
        <v>912</v>
      </c>
      <c r="H53" s="464">
        <v>922</v>
      </c>
      <c r="I53" s="679">
        <f t="shared" si="12"/>
        <v>-19</v>
      </c>
      <c r="J53" s="680">
        <f t="shared" si="2"/>
        <v>16.013131815840254</v>
      </c>
    </row>
    <row r="54" spans="1:10" ht="14.1" customHeight="1">
      <c r="A54" s="770"/>
      <c r="B54" s="203" t="s">
        <v>122</v>
      </c>
      <c r="C54" s="464">
        <v>587</v>
      </c>
      <c r="D54" s="464">
        <v>1390</v>
      </c>
      <c r="E54" s="464">
        <v>478</v>
      </c>
      <c r="F54" s="464">
        <f t="shared" si="15"/>
        <v>1148</v>
      </c>
      <c r="G54" s="464">
        <v>579</v>
      </c>
      <c r="H54" s="464">
        <v>569</v>
      </c>
      <c r="I54" s="679">
        <f t="shared" si="12"/>
        <v>-242</v>
      </c>
      <c r="J54" s="680">
        <f t="shared" si="2"/>
        <v>10.023487090831305</v>
      </c>
    </row>
    <row r="55" spans="1:10" ht="14.1" customHeight="1" thickBot="1">
      <c r="A55" s="200" t="s">
        <v>123</v>
      </c>
      <c r="B55" s="205" t="s">
        <v>124</v>
      </c>
      <c r="C55" s="688">
        <v>37</v>
      </c>
      <c r="D55" s="688">
        <v>81</v>
      </c>
      <c r="E55" s="688">
        <v>32</v>
      </c>
      <c r="F55" s="688">
        <f t="shared" si="15"/>
        <v>72</v>
      </c>
      <c r="G55" s="688">
        <v>26</v>
      </c>
      <c r="H55" s="688">
        <v>46</v>
      </c>
      <c r="I55" s="689">
        <f t="shared" si="12"/>
        <v>-9</v>
      </c>
      <c r="J55" s="680">
        <f t="shared" si="2"/>
        <v>0.62865075830997719</v>
      </c>
    </row>
    <row r="56" spans="1:10" ht="14.1" customHeight="1">
      <c r="A56" s="682" t="s">
        <v>569</v>
      </c>
      <c r="B56" s="676"/>
      <c r="C56" s="676"/>
      <c r="D56" s="676"/>
      <c r="E56" s="676"/>
      <c r="F56" s="676"/>
      <c r="G56" s="676"/>
      <c r="H56" s="676"/>
      <c r="I56" s="683"/>
      <c r="J56" s="683" t="s">
        <v>649</v>
      </c>
    </row>
    <row r="57" spans="1:10" ht="14.1" customHeight="1">
      <c r="A57" s="682" t="s">
        <v>570</v>
      </c>
      <c r="B57" s="676"/>
      <c r="C57" s="676"/>
      <c r="D57" s="676"/>
      <c r="E57" s="676"/>
      <c r="F57" s="676"/>
      <c r="G57" s="676"/>
      <c r="H57" s="676"/>
      <c r="I57" s="676"/>
      <c r="J57" s="676"/>
    </row>
    <row r="58" spans="1:10" ht="14.1" customHeight="1">
      <c r="A58" s="682" t="s">
        <v>651</v>
      </c>
      <c r="B58" s="676"/>
      <c r="C58" s="676"/>
      <c r="D58" s="676"/>
      <c r="E58" s="676"/>
      <c r="F58" s="676"/>
      <c r="G58" s="676"/>
      <c r="H58" s="676"/>
      <c r="I58" s="676"/>
      <c r="J58" s="676"/>
    </row>
  </sheetData>
  <sheetProtection sheet="1" objects="1" scenarios="1"/>
  <mergeCells count="13">
    <mergeCell ref="D3:D4"/>
    <mergeCell ref="E3:E4"/>
    <mergeCell ref="F3:H4"/>
    <mergeCell ref="A47:A54"/>
    <mergeCell ref="A3:B5"/>
    <mergeCell ref="C3:C4"/>
    <mergeCell ref="A6:B6"/>
    <mergeCell ref="A7:A13"/>
    <mergeCell ref="A22:A27"/>
    <mergeCell ref="A28:A32"/>
    <mergeCell ref="A33:A38"/>
    <mergeCell ref="A39:A46"/>
    <mergeCell ref="A14:A21"/>
  </mergeCells>
  <phoneticPr fontId="17"/>
  <printOptions horizontalCentered="1"/>
  <pageMargins left="0.59055118110236227" right="0.59055118110236227" top="0.59055118110236227" bottom="0.59055118110236227" header="0.39370078740157483" footer="0.39370078740157483"/>
  <pageSetup paperSize="9" scale="97" firstPageNumber="0" orientation="portrait" verticalDpi="300" r:id="rId1"/>
  <headerFooter scaleWithDoc="0" alignWithMargins="0">
    <oddHeader>&amp;L&amp;"ＭＳ 明朝,標準"&amp;10人　口</oddHeader>
    <oddFooter>&amp;C&amp;"ＭＳ 明朝,標準"&amp;12&amp;A</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L34"/>
  <sheetViews>
    <sheetView view="pageBreakPreview" zoomScale="90" zoomScaleNormal="120" zoomScaleSheetLayoutView="90" workbookViewId="0">
      <pane ySplit="5" topLeftCell="A6" activePane="bottomLeft" state="frozen"/>
      <selection activeCell="A6" sqref="A6"/>
      <selection pane="bottomLeft" activeCell="Q11" sqref="Q11"/>
    </sheetView>
  </sheetViews>
  <sheetFormatPr defaultRowHeight="23.1" customHeight="1"/>
  <cols>
    <col min="1" max="1" width="12.125" style="666" customWidth="1"/>
    <col min="2" max="4" width="11.375" style="666" customWidth="1"/>
    <col min="5" max="5" width="11.375" style="665" customWidth="1"/>
    <col min="6" max="6" width="11.625" style="697" customWidth="1"/>
    <col min="7" max="7" width="11.375" style="698" customWidth="1"/>
    <col min="8" max="8" width="11.375" style="699" customWidth="1"/>
    <col min="9" max="12" width="0" style="666" hidden="1" customWidth="1"/>
    <col min="13" max="16384" width="9" style="666"/>
  </cols>
  <sheetData>
    <row r="1" spans="1:12" s="665" customFormat="1" ht="5.0999999999999996" customHeight="1">
      <c r="A1" s="13"/>
      <c r="F1" s="690"/>
      <c r="G1" s="780"/>
      <c r="H1" s="780"/>
    </row>
    <row r="2" spans="1:12" s="665" customFormat="1" ht="15" customHeight="1" thickBot="1">
      <c r="A2" s="13" t="s">
        <v>125</v>
      </c>
      <c r="F2" s="690"/>
      <c r="G2" s="780" t="s">
        <v>10</v>
      </c>
      <c r="H2" s="780"/>
    </row>
    <row r="3" spans="1:12" ht="13.5" customHeight="1">
      <c r="A3" s="781" t="s">
        <v>126</v>
      </c>
      <c r="B3" s="783" t="s">
        <v>127</v>
      </c>
      <c r="C3" s="768" t="s">
        <v>12</v>
      </c>
      <c r="D3" s="785" t="s">
        <v>128</v>
      </c>
      <c r="E3" s="785"/>
      <c r="F3" s="787" t="s">
        <v>129</v>
      </c>
      <c r="G3" s="789" t="s">
        <v>130</v>
      </c>
      <c r="H3" s="791" t="s">
        <v>131</v>
      </c>
      <c r="I3" s="567"/>
    </row>
    <row r="4" spans="1:12" ht="13.5" customHeight="1">
      <c r="A4" s="782"/>
      <c r="B4" s="784"/>
      <c r="C4" s="769"/>
      <c r="D4" s="786"/>
      <c r="E4" s="786"/>
      <c r="F4" s="788"/>
      <c r="G4" s="790"/>
      <c r="H4" s="792"/>
      <c r="I4" s="567"/>
    </row>
    <row r="5" spans="1:12" ht="27" customHeight="1">
      <c r="A5" s="782"/>
      <c r="B5" s="784"/>
      <c r="C5" s="639" t="s">
        <v>709</v>
      </c>
      <c r="D5" s="639" t="s">
        <v>676</v>
      </c>
      <c r="E5" s="639" t="s">
        <v>709</v>
      </c>
      <c r="F5" s="788"/>
      <c r="G5" s="790"/>
      <c r="H5" s="366" t="s">
        <v>709</v>
      </c>
      <c r="I5" s="567"/>
    </row>
    <row r="6" spans="1:12" ht="30" customHeight="1">
      <c r="A6" s="700" t="s">
        <v>132</v>
      </c>
      <c r="B6" s="701">
        <v>19.48</v>
      </c>
      <c r="C6" s="648">
        <f>SUM(C8:C28)</f>
        <v>49610</v>
      </c>
      <c r="D6" s="648">
        <f>SUM(D8:D28)</f>
        <v>114372</v>
      </c>
      <c r="E6" s="648">
        <f>SUM(E8:E28)</f>
        <v>114531</v>
      </c>
      <c r="F6" s="702">
        <f>+E6-D6</f>
        <v>159</v>
      </c>
      <c r="G6" s="248">
        <f>ROUND(F6/D6,5)*100</f>
        <v>0.13899999999999998</v>
      </c>
      <c r="H6" s="653">
        <f>E6/B6</f>
        <v>5879.4147843942501</v>
      </c>
      <c r="I6" s="691">
        <f>(+E6/D6)-1</f>
        <v>1.3902003986989708E-3</v>
      </c>
      <c r="K6" s="692">
        <f>SUM(K8:K27)</f>
        <v>19.299999999999997</v>
      </c>
      <c r="L6" s="692">
        <f>SUM(L8:L27)</f>
        <v>19.480000000000004</v>
      </c>
    </row>
    <row r="7" spans="1:12" ht="24" customHeight="1">
      <c r="A7" s="367"/>
      <c r="B7" s="21"/>
      <c r="C7" s="644"/>
      <c r="D7" s="647"/>
      <c r="E7" s="647"/>
      <c r="F7" s="22"/>
      <c r="G7" s="248"/>
      <c r="H7" s="654"/>
      <c r="I7" s="567"/>
      <c r="K7" s="692"/>
      <c r="L7" s="692"/>
    </row>
    <row r="8" spans="1:12" ht="24" customHeight="1">
      <c r="A8" s="207" t="s">
        <v>133</v>
      </c>
      <c r="B8" s="645">
        <f>0.98+0.01</f>
        <v>0.99</v>
      </c>
      <c r="C8" s="644">
        <v>1658</v>
      </c>
      <c r="D8" s="644">
        <v>4090</v>
      </c>
      <c r="E8" s="644">
        <v>4089</v>
      </c>
      <c r="F8" s="23">
        <f>+E8-D8</f>
        <v>-1</v>
      </c>
      <c r="G8" s="248">
        <f>ROUND(F8/D8,5)*100</f>
        <v>-2.4E-2</v>
      </c>
      <c r="H8" s="653">
        <f>E8/B8</f>
        <v>4130.30303030303</v>
      </c>
      <c r="I8" s="691">
        <f t="shared" ref="I8:I28" si="0">(+E8/D8)-1</f>
        <v>-2.4449877750609694E-4</v>
      </c>
      <c r="K8" s="692">
        <v>0.98</v>
      </c>
      <c r="L8" s="692">
        <f>K8/$K$6*19.48</f>
        <v>0.9891398963730571</v>
      </c>
    </row>
    <row r="9" spans="1:12" ht="24" customHeight="1">
      <c r="A9" s="207" t="s">
        <v>134</v>
      </c>
      <c r="B9" s="645">
        <f>0.55+0.01</f>
        <v>0.56000000000000005</v>
      </c>
      <c r="C9" s="644">
        <v>1954</v>
      </c>
      <c r="D9" s="644">
        <v>4520</v>
      </c>
      <c r="E9" s="644">
        <v>4472</v>
      </c>
      <c r="F9" s="23">
        <f t="shared" ref="F9:F16" si="1">+E9-D9</f>
        <v>-48</v>
      </c>
      <c r="G9" s="248">
        <f>ROUND(F9/D9,5)*100</f>
        <v>-1.0619999999999998</v>
      </c>
      <c r="H9" s="653">
        <f t="shared" ref="H9:H27" si="2">E9/B9</f>
        <v>7985.7142857142853</v>
      </c>
      <c r="I9" s="691">
        <f>(+E9/D9)-1</f>
        <v>-1.0619469026548645E-2</v>
      </c>
      <c r="K9" s="692">
        <v>0.55000000000000004</v>
      </c>
      <c r="L9" s="692">
        <f>K9/$K$6*19.48</f>
        <v>0.55512953367875661</v>
      </c>
    </row>
    <row r="10" spans="1:12" ht="24" customHeight="1">
      <c r="A10" s="207" t="s">
        <v>135</v>
      </c>
      <c r="B10" s="645">
        <f>0.84+0.01</f>
        <v>0.85</v>
      </c>
      <c r="C10" s="644">
        <v>3688</v>
      </c>
      <c r="D10" s="644">
        <v>8434</v>
      </c>
      <c r="E10" s="644">
        <v>8803</v>
      </c>
      <c r="F10" s="23">
        <f t="shared" si="1"/>
        <v>369</v>
      </c>
      <c r="G10" s="248">
        <f t="shared" ref="G10:G28" si="3">ROUND(F10/D10,5)*100</f>
        <v>4.375</v>
      </c>
      <c r="H10" s="653">
        <f>E10/B10</f>
        <v>10356.470588235294</v>
      </c>
      <c r="I10" s="691">
        <f t="shared" si="0"/>
        <v>4.3751482096276995E-2</v>
      </c>
      <c r="K10" s="692">
        <v>0.84</v>
      </c>
      <c r="L10" s="692">
        <f t="shared" ref="L10:L27" si="4">K10/$K$6*19.48</f>
        <v>0.84783419689119188</v>
      </c>
    </row>
    <row r="11" spans="1:12" ht="24" customHeight="1">
      <c r="A11" s="207" t="s">
        <v>136</v>
      </c>
      <c r="B11" s="645">
        <f>1.8+0.02</f>
        <v>1.82</v>
      </c>
      <c r="C11" s="644">
        <v>3619</v>
      </c>
      <c r="D11" s="644">
        <v>8217</v>
      </c>
      <c r="E11" s="644">
        <v>8197</v>
      </c>
      <c r="F11" s="23">
        <f t="shared" si="1"/>
        <v>-20</v>
      </c>
      <c r="G11" s="248">
        <f t="shared" si="3"/>
        <v>-0.24299999999999999</v>
      </c>
      <c r="H11" s="653">
        <f t="shared" si="2"/>
        <v>4503.8461538461534</v>
      </c>
      <c r="I11" s="691">
        <f t="shared" si="0"/>
        <v>-2.4339783375928459E-3</v>
      </c>
      <c r="K11" s="692">
        <v>1.8</v>
      </c>
      <c r="L11" s="692">
        <f t="shared" si="4"/>
        <v>1.8167875647668397</v>
      </c>
    </row>
    <row r="12" spans="1:12" ht="24" customHeight="1">
      <c r="A12" s="207" t="s">
        <v>137</v>
      </c>
      <c r="B12" s="645">
        <f>1.04+0.01</f>
        <v>1.05</v>
      </c>
      <c r="C12" s="644">
        <v>3082</v>
      </c>
      <c r="D12" s="644">
        <v>7478</v>
      </c>
      <c r="E12" s="644">
        <v>7535</v>
      </c>
      <c r="F12" s="23">
        <f t="shared" si="1"/>
        <v>57</v>
      </c>
      <c r="G12" s="248">
        <f t="shared" si="3"/>
        <v>0.76200000000000001</v>
      </c>
      <c r="H12" s="653">
        <f t="shared" si="2"/>
        <v>7176.1904761904761</v>
      </c>
      <c r="I12" s="691">
        <f t="shared" si="0"/>
        <v>7.6223589194972519E-3</v>
      </c>
      <c r="K12" s="692">
        <v>1.04</v>
      </c>
      <c r="L12" s="692">
        <f t="shared" si="4"/>
        <v>1.0496994818652852</v>
      </c>
    </row>
    <row r="13" spans="1:12" ht="24" customHeight="1">
      <c r="A13" s="207" t="s">
        <v>138</v>
      </c>
      <c r="B13" s="645">
        <f>2.11+0.02</f>
        <v>2.13</v>
      </c>
      <c r="C13" s="644">
        <v>4293</v>
      </c>
      <c r="D13" s="644">
        <v>10032</v>
      </c>
      <c r="E13" s="644">
        <v>9913</v>
      </c>
      <c r="F13" s="23">
        <f t="shared" si="1"/>
        <v>-119</v>
      </c>
      <c r="G13" s="248">
        <f>ROUND(F13/D13,5)*100</f>
        <v>-1.1860000000000002</v>
      </c>
      <c r="H13" s="653">
        <f t="shared" si="2"/>
        <v>4653.9906103286385</v>
      </c>
      <c r="I13" s="691">
        <f t="shared" si="0"/>
        <v>-1.1862041467304629E-2</v>
      </c>
      <c r="K13" s="692">
        <v>2.11</v>
      </c>
      <c r="L13" s="692">
        <f t="shared" si="4"/>
        <v>2.1296787564766841</v>
      </c>
    </row>
    <row r="14" spans="1:12" ht="24" customHeight="1">
      <c r="A14" s="207" t="s">
        <v>139</v>
      </c>
      <c r="B14" s="645">
        <f>0.88+0.01</f>
        <v>0.89</v>
      </c>
      <c r="C14" s="644">
        <v>2123</v>
      </c>
      <c r="D14" s="644">
        <v>4405</v>
      </c>
      <c r="E14" s="644">
        <v>4404</v>
      </c>
      <c r="F14" s="23">
        <f t="shared" si="1"/>
        <v>-1</v>
      </c>
      <c r="G14" s="248">
        <f t="shared" si="3"/>
        <v>-2.3E-2</v>
      </c>
      <c r="H14" s="653">
        <f t="shared" si="2"/>
        <v>4948.3146067415728</v>
      </c>
      <c r="I14" s="691">
        <f t="shared" si="0"/>
        <v>-2.2701475595909848E-4</v>
      </c>
      <c r="K14" s="692">
        <v>0.88</v>
      </c>
      <c r="L14" s="692">
        <f t="shared" si="4"/>
        <v>0.88820725388601052</v>
      </c>
    </row>
    <row r="15" spans="1:12" ht="24" customHeight="1">
      <c r="A15" s="207" t="s">
        <v>140</v>
      </c>
      <c r="B15" s="645">
        <f>1.22+0.01</f>
        <v>1.23</v>
      </c>
      <c r="C15" s="644">
        <v>5227</v>
      </c>
      <c r="D15" s="644">
        <v>11975</v>
      </c>
      <c r="E15" s="644">
        <v>11862</v>
      </c>
      <c r="F15" s="23">
        <f t="shared" si="1"/>
        <v>-113</v>
      </c>
      <c r="G15" s="248">
        <f t="shared" si="3"/>
        <v>-0.94400000000000006</v>
      </c>
      <c r="H15" s="653">
        <f t="shared" si="2"/>
        <v>9643.9024390243903</v>
      </c>
      <c r="I15" s="691">
        <f t="shared" si="0"/>
        <v>-9.4363256784968375E-3</v>
      </c>
      <c r="K15" s="692">
        <v>1.22</v>
      </c>
      <c r="L15" s="692">
        <f t="shared" si="4"/>
        <v>1.2313782383419691</v>
      </c>
    </row>
    <row r="16" spans="1:12" ht="24" customHeight="1">
      <c r="A16" s="207" t="s">
        <v>141</v>
      </c>
      <c r="B16" s="645">
        <f>0.67+0.01</f>
        <v>0.68</v>
      </c>
      <c r="C16" s="644">
        <v>2360</v>
      </c>
      <c r="D16" s="644">
        <v>4516</v>
      </c>
      <c r="E16" s="644">
        <v>4512</v>
      </c>
      <c r="F16" s="23">
        <f t="shared" si="1"/>
        <v>-4</v>
      </c>
      <c r="G16" s="248">
        <f t="shared" si="3"/>
        <v>-8.8999999999999996E-2</v>
      </c>
      <c r="H16" s="653">
        <f t="shared" si="2"/>
        <v>6635.2941176470586</v>
      </c>
      <c r="I16" s="691">
        <f t="shared" si="0"/>
        <v>-8.8573959255977552E-4</v>
      </c>
      <c r="K16" s="692">
        <v>0.67</v>
      </c>
      <c r="L16" s="692">
        <f t="shared" si="4"/>
        <v>0.67624870466321263</v>
      </c>
    </row>
    <row r="17" spans="1:12" ht="24" customHeight="1">
      <c r="A17" s="207" t="s">
        <v>142</v>
      </c>
      <c r="B17" s="645">
        <v>0.33</v>
      </c>
      <c r="C17" s="368">
        <v>0</v>
      </c>
      <c r="D17" s="368">
        <v>0</v>
      </c>
      <c r="E17" s="368">
        <v>0</v>
      </c>
      <c r="F17" s="23" t="s">
        <v>143</v>
      </c>
      <c r="G17" s="248">
        <v>0</v>
      </c>
      <c r="H17" s="369">
        <f t="shared" si="2"/>
        <v>0</v>
      </c>
      <c r="I17" s="691" t="e">
        <f t="shared" si="0"/>
        <v>#DIV/0!</v>
      </c>
      <c r="K17" s="692">
        <v>0.33</v>
      </c>
      <c r="L17" s="692">
        <f t="shared" si="4"/>
        <v>0.33307772020725396</v>
      </c>
    </row>
    <row r="18" spans="1:12" ht="24" customHeight="1">
      <c r="A18" s="207" t="s">
        <v>144</v>
      </c>
      <c r="B18" s="645">
        <f>0.85+0.01</f>
        <v>0.86</v>
      </c>
      <c r="C18" s="644">
        <v>2024</v>
      </c>
      <c r="D18" s="644">
        <v>4346</v>
      </c>
      <c r="E18" s="644">
        <v>4358</v>
      </c>
      <c r="F18" s="23">
        <f t="shared" ref="F18:F25" si="5">+E18-D18</f>
        <v>12</v>
      </c>
      <c r="G18" s="248">
        <f t="shared" si="3"/>
        <v>0.27599999999999997</v>
      </c>
      <c r="H18" s="653">
        <f t="shared" si="2"/>
        <v>5067.4418604651164</v>
      </c>
      <c r="I18" s="691">
        <f t="shared" si="0"/>
        <v>2.7611596870684707E-3</v>
      </c>
      <c r="K18" s="692">
        <v>0.85</v>
      </c>
      <c r="L18" s="692">
        <f t="shared" si="4"/>
        <v>0.85792746113989649</v>
      </c>
    </row>
    <row r="19" spans="1:12" ht="24" customHeight="1">
      <c r="A19" s="207" t="s">
        <v>145</v>
      </c>
      <c r="B19" s="645">
        <f>0.67+0.01</f>
        <v>0.68</v>
      </c>
      <c r="C19" s="644">
        <v>4319</v>
      </c>
      <c r="D19" s="644">
        <v>9897</v>
      </c>
      <c r="E19" s="644">
        <v>9931</v>
      </c>
      <c r="F19" s="23">
        <f t="shared" si="5"/>
        <v>34</v>
      </c>
      <c r="G19" s="248">
        <f t="shared" si="3"/>
        <v>0.34399999999999997</v>
      </c>
      <c r="H19" s="653">
        <f t="shared" si="2"/>
        <v>14604.411764705881</v>
      </c>
      <c r="I19" s="691">
        <f t="shared" si="0"/>
        <v>3.4353844599372962E-3</v>
      </c>
      <c r="K19" s="692">
        <v>0.67</v>
      </c>
      <c r="L19" s="692">
        <f t="shared" si="4"/>
        <v>0.67624870466321263</v>
      </c>
    </row>
    <row r="20" spans="1:12" ht="24" customHeight="1">
      <c r="A20" s="207" t="s">
        <v>146</v>
      </c>
      <c r="B20" s="645">
        <f>0.93+0.01</f>
        <v>0.94000000000000006</v>
      </c>
      <c r="C20" s="644">
        <v>1888</v>
      </c>
      <c r="D20" s="644">
        <v>4823</v>
      </c>
      <c r="E20" s="644">
        <v>4782</v>
      </c>
      <c r="F20" s="23">
        <f t="shared" si="5"/>
        <v>-41</v>
      </c>
      <c r="G20" s="248">
        <f t="shared" si="3"/>
        <v>-0.85000000000000009</v>
      </c>
      <c r="H20" s="653">
        <f t="shared" si="2"/>
        <v>5087.2340425531911</v>
      </c>
      <c r="I20" s="691">
        <f t="shared" si="0"/>
        <v>-8.5009330292349361E-3</v>
      </c>
      <c r="K20" s="692">
        <v>0.93</v>
      </c>
      <c r="L20" s="692">
        <f t="shared" si="4"/>
        <v>0.93867357512953387</v>
      </c>
    </row>
    <row r="21" spans="1:12" ht="24" customHeight="1">
      <c r="A21" s="207" t="s">
        <v>147</v>
      </c>
      <c r="B21" s="645">
        <f>0.85+0.01</f>
        <v>0.86</v>
      </c>
      <c r="C21" s="644">
        <v>2381</v>
      </c>
      <c r="D21" s="644">
        <v>5538</v>
      </c>
      <c r="E21" s="644">
        <v>5657</v>
      </c>
      <c r="F21" s="23">
        <f t="shared" si="5"/>
        <v>119</v>
      </c>
      <c r="G21" s="248">
        <f t="shared" si="3"/>
        <v>2.149</v>
      </c>
      <c r="H21" s="653">
        <f t="shared" si="2"/>
        <v>6577.9069767441861</v>
      </c>
      <c r="I21" s="691">
        <f t="shared" si="0"/>
        <v>2.1487901769591922E-2</v>
      </c>
      <c r="K21" s="692">
        <v>0.85</v>
      </c>
      <c r="L21" s="692">
        <f t="shared" si="4"/>
        <v>0.85792746113989649</v>
      </c>
    </row>
    <row r="22" spans="1:12" ht="24" customHeight="1">
      <c r="A22" s="207" t="s">
        <v>148</v>
      </c>
      <c r="B22" s="645">
        <f>1.52+0.01</f>
        <v>1.53</v>
      </c>
      <c r="C22" s="644">
        <v>3164</v>
      </c>
      <c r="D22" s="644">
        <v>7505</v>
      </c>
      <c r="E22" s="644">
        <v>7492</v>
      </c>
      <c r="F22" s="23">
        <f t="shared" si="5"/>
        <v>-13</v>
      </c>
      <c r="G22" s="248">
        <f t="shared" si="3"/>
        <v>-0.17299999999999999</v>
      </c>
      <c r="H22" s="653">
        <f t="shared" si="2"/>
        <v>4896.7320261437908</v>
      </c>
      <c r="I22" s="691">
        <f t="shared" si="0"/>
        <v>-1.732178547634855E-3</v>
      </c>
      <c r="K22" s="692">
        <v>1.52</v>
      </c>
      <c r="L22" s="692">
        <f t="shared" si="4"/>
        <v>1.5341761658031092</v>
      </c>
    </row>
    <row r="23" spans="1:12" ht="24" customHeight="1">
      <c r="A23" s="207" t="s">
        <v>149</v>
      </c>
      <c r="B23" s="645">
        <f>1.35+0.01</f>
        <v>1.36</v>
      </c>
      <c r="C23" s="644">
        <v>4114</v>
      </c>
      <c r="D23" s="644">
        <v>9942</v>
      </c>
      <c r="E23" s="644">
        <v>9933</v>
      </c>
      <c r="F23" s="23">
        <f t="shared" si="5"/>
        <v>-9</v>
      </c>
      <c r="G23" s="248">
        <f t="shared" si="3"/>
        <v>-9.0999999999999998E-2</v>
      </c>
      <c r="H23" s="653">
        <f t="shared" si="2"/>
        <v>7303.6764705882351</v>
      </c>
      <c r="I23" s="691">
        <f t="shared" si="0"/>
        <v>-9.0525045262523918E-4</v>
      </c>
      <c r="K23" s="692">
        <v>1.35</v>
      </c>
      <c r="L23" s="692">
        <f t="shared" si="4"/>
        <v>1.3625906735751299</v>
      </c>
    </row>
    <row r="24" spans="1:12" ht="24" customHeight="1">
      <c r="A24" s="207" t="s">
        <v>150</v>
      </c>
      <c r="B24" s="645">
        <f>0.72+0.01</f>
        <v>0.73</v>
      </c>
      <c r="C24" s="644">
        <v>1308</v>
      </c>
      <c r="D24" s="644">
        <v>3295</v>
      </c>
      <c r="E24" s="644">
        <v>3271</v>
      </c>
      <c r="F24" s="23">
        <f t="shared" si="5"/>
        <v>-24</v>
      </c>
      <c r="G24" s="248">
        <f t="shared" si="3"/>
        <v>-0.72799999999999998</v>
      </c>
      <c r="H24" s="653">
        <f t="shared" si="2"/>
        <v>4480.821917808219</v>
      </c>
      <c r="I24" s="691">
        <f t="shared" si="0"/>
        <v>-7.2837632776934225E-3</v>
      </c>
      <c r="K24" s="692">
        <v>0.72</v>
      </c>
      <c r="L24" s="692">
        <f t="shared" si="4"/>
        <v>0.72671502590673587</v>
      </c>
    </row>
    <row r="25" spans="1:12" ht="24" customHeight="1">
      <c r="A25" s="207" t="s">
        <v>151</v>
      </c>
      <c r="B25" s="645">
        <f>0.68+0.01</f>
        <v>0.69000000000000006</v>
      </c>
      <c r="C25" s="644">
        <v>2377</v>
      </c>
      <c r="D25" s="644">
        <v>5285</v>
      </c>
      <c r="E25" s="644">
        <v>5256</v>
      </c>
      <c r="F25" s="23">
        <f t="shared" si="5"/>
        <v>-29</v>
      </c>
      <c r="G25" s="248">
        <f t="shared" si="3"/>
        <v>-0.54900000000000004</v>
      </c>
      <c r="H25" s="653">
        <f>E25/B25</f>
        <v>7617.3913043478251</v>
      </c>
      <c r="I25" s="691">
        <f t="shared" si="0"/>
        <v>-5.4872280037843169E-3</v>
      </c>
      <c r="K25" s="692">
        <v>0.68</v>
      </c>
      <c r="L25" s="692">
        <f t="shared" si="4"/>
        <v>0.68634196891191723</v>
      </c>
    </row>
    <row r="26" spans="1:12" ht="24" customHeight="1">
      <c r="A26" s="207" t="s">
        <v>152</v>
      </c>
      <c r="B26" s="645">
        <f>0.95+0.03+0.01</f>
        <v>0.99</v>
      </c>
      <c r="C26" s="368">
        <v>0</v>
      </c>
      <c r="D26" s="368">
        <v>0</v>
      </c>
      <c r="E26" s="368">
        <v>0</v>
      </c>
      <c r="F26" s="23" t="s">
        <v>143</v>
      </c>
      <c r="G26" s="23" t="s">
        <v>143</v>
      </c>
      <c r="H26" s="369">
        <f t="shared" si="2"/>
        <v>0</v>
      </c>
      <c r="I26" s="691" t="e">
        <f t="shared" si="0"/>
        <v>#DIV/0!</v>
      </c>
      <c r="K26" s="692">
        <v>0.98</v>
      </c>
      <c r="L26" s="692">
        <f t="shared" si="4"/>
        <v>0.9891398963730571</v>
      </c>
    </row>
    <row r="27" spans="1:12" ht="24" customHeight="1">
      <c r="A27" s="370" t="s">
        <v>153</v>
      </c>
      <c r="B27" s="645">
        <v>0.33</v>
      </c>
      <c r="C27" s="644">
        <v>5</v>
      </c>
      <c r="D27" s="644">
        <v>6</v>
      </c>
      <c r="E27" s="644">
        <v>5</v>
      </c>
      <c r="F27" s="23">
        <f>+E27-D27</f>
        <v>-1</v>
      </c>
      <c r="G27" s="248">
        <f t="shared" si="3"/>
        <v>-16.667000000000002</v>
      </c>
      <c r="H27" s="653">
        <f t="shared" si="2"/>
        <v>15.15151515151515</v>
      </c>
      <c r="I27" s="691">
        <f t="shared" si="0"/>
        <v>-0.16666666666666663</v>
      </c>
      <c r="K27" s="692">
        <v>0.33</v>
      </c>
      <c r="L27" s="692">
        <f t="shared" si="4"/>
        <v>0.33307772020725396</v>
      </c>
    </row>
    <row r="28" spans="1:12" ht="24" customHeight="1" thickBot="1">
      <c r="A28" s="200" t="s">
        <v>124</v>
      </c>
      <c r="B28" s="206" t="s">
        <v>461</v>
      </c>
      <c r="C28" s="646">
        <v>26</v>
      </c>
      <c r="D28" s="646">
        <v>68</v>
      </c>
      <c r="E28" s="646">
        <v>59</v>
      </c>
      <c r="F28" s="693">
        <f>+E28-D28</f>
        <v>-9</v>
      </c>
      <c r="G28" s="371">
        <f t="shared" si="3"/>
        <v>-13.234999999999999</v>
      </c>
      <c r="H28" s="372" t="s">
        <v>143</v>
      </c>
      <c r="I28" s="691">
        <f t="shared" si="0"/>
        <v>-0.13235294117647056</v>
      </c>
    </row>
    <row r="29" spans="1:12" ht="16.5" customHeight="1">
      <c r="A29" s="13" t="s">
        <v>154</v>
      </c>
      <c r="B29" s="665"/>
      <c r="C29" s="665"/>
      <c r="D29" s="665"/>
      <c r="F29" s="694"/>
      <c r="G29" s="695"/>
      <c r="H29" s="373" t="s">
        <v>648</v>
      </c>
      <c r="I29" s="665"/>
    </row>
    <row r="30" spans="1:12" ht="16.5" customHeight="1">
      <c r="A30" s="13" t="s">
        <v>155</v>
      </c>
      <c r="B30" s="665"/>
      <c r="C30" s="665"/>
      <c r="D30" s="665"/>
      <c r="F30" s="694"/>
      <c r="G30" s="695"/>
      <c r="H30" s="696"/>
      <c r="I30" s="665"/>
    </row>
    <row r="31" spans="1:12" ht="16.5" customHeight="1">
      <c r="A31" s="13" t="s">
        <v>572</v>
      </c>
    </row>
    <row r="32" spans="1:12" ht="16.5" customHeight="1">
      <c r="A32" s="567" t="s">
        <v>573</v>
      </c>
    </row>
    <row r="33" spans="1:1" ht="16.5" customHeight="1">
      <c r="A33" s="567" t="s">
        <v>574</v>
      </c>
    </row>
    <row r="34" spans="1:1" ht="16.5" customHeight="1"/>
  </sheetData>
  <sheetProtection sheet="1" objects="1" scenarios="1"/>
  <mergeCells count="9">
    <mergeCell ref="G1:H1"/>
    <mergeCell ref="G2:H2"/>
    <mergeCell ref="A3:A5"/>
    <mergeCell ref="B3:B5"/>
    <mergeCell ref="C3:C4"/>
    <mergeCell ref="D3:E4"/>
    <mergeCell ref="F3:F5"/>
    <mergeCell ref="G3:G5"/>
    <mergeCell ref="H3:H4"/>
  </mergeCells>
  <phoneticPr fontId="17"/>
  <printOptions horizontalCentered="1"/>
  <pageMargins left="0.59055118110236227" right="0.59055118110236227" top="0.59055118110236227" bottom="0.59055118110236227" header="0.39370078740157483" footer="0.39370078740157483"/>
  <pageSetup paperSize="9" firstPageNumber="0" orientation="portrait" verticalDpi="300" r:id="rId1"/>
  <headerFooter scaleWithDoc="0" alignWithMargins="0">
    <oddHeader>&amp;R&amp;"ＭＳ 明朝,標準"&amp;10人　口</oddHeader>
    <oddFooter>&amp;C&amp;"ＭＳ 明朝,標準"&amp;12&amp;A</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outlinePr summaryBelow="0" summaryRight="0"/>
  </sheetPr>
  <dimension ref="A1:L56"/>
  <sheetViews>
    <sheetView tabSelected="1" view="pageBreakPreview" zoomScaleNormal="100" zoomScaleSheetLayoutView="100" workbookViewId="0">
      <selection activeCell="F10" sqref="F10"/>
    </sheetView>
  </sheetViews>
  <sheetFormatPr defaultRowHeight="15" customHeight="1"/>
  <cols>
    <col min="1" max="1" width="2.75" style="24" customWidth="1"/>
    <col min="2" max="3" width="7.25" style="24" customWidth="1"/>
    <col min="4" max="4" width="0.875" style="24" customWidth="1"/>
    <col min="5" max="12" width="9.25" style="24" customWidth="1"/>
    <col min="13" max="16384" width="9" style="24"/>
  </cols>
  <sheetData>
    <row r="1" spans="1:12" ht="5.0999999999999996" customHeight="1">
      <c r="A1" s="13"/>
      <c r="L1" s="14"/>
    </row>
    <row r="2" spans="1:12" ht="15" customHeight="1" thickBot="1">
      <c r="A2" s="13" t="s">
        <v>156</v>
      </c>
      <c r="L2" s="14" t="s">
        <v>22</v>
      </c>
    </row>
    <row r="3" spans="1:12" ht="22.5" customHeight="1">
      <c r="A3" s="795" t="s">
        <v>157</v>
      </c>
      <c r="B3" s="796"/>
      <c r="C3" s="796"/>
      <c r="D3" s="797"/>
      <c r="E3" s="634" t="s">
        <v>566</v>
      </c>
      <c r="F3" s="634" t="s">
        <v>567</v>
      </c>
      <c r="G3" s="634" t="s">
        <v>568</v>
      </c>
      <c r="H3" s="634" t="s">
        <v>563</v>
      </c>
      <c r="I3" s="638" t="s">
        <v>564</v>
      </c>
      <c r="J3" s="610" t="s">
        <v>575</v>
      </c>
      <c r="K3" s="622" t="s">
        <v>669</v>
      </c>
      <c r="L3" s="703" t="s">
        <v>677</v>
      </c>
    </row>
    <row r="4" spans="1:12" ht="18" customHeight="1">
      <c r="A4" s="798" t="s">
        <v>158</v>
      </c>
      <c r="B4" s="799"/>
      <c r="C4" s="799"/>
      <c r="D4" s="800"/>
      <c r="E4" s="710">
        <f t="shared" ref="E4:I4" si="0">SUM(E6:E19)</f>
        <v>599</v>
      </c>
      <c r="F4" s="710">
        <f t="shared" si="0"/>
        <v>684</v>
      </c>
      <c r="G4" s="710">
        <f t="shared" si="0"/>
        <v>764</v>
      </c>
      <c r="H4" s="710">
        <f t="shared" si="0"/>
        <v>804</v>
      </c>
      <c r="I4" s="648">
        <f t="shared" si="0"/>
        <v>1022</v>
      </c>
      <c r="J4" s="648">
        <f>SUM(J6:J19)</f>
        <v>916</v>
      </c>
      <c r="K4" s="711">
        <f t="shared" ref="K4:L4" si="1">SUM(K6:K19)</f>
        <v>967</v>
      </c>
      <c r="L4" s="712">
        <f t="shared" si="1"/>
        <v>1102</v>
      </c>
    </row>
    <row r="5" spans="1:12" ht="12" customHeight="1">
      <c r="A5" s="188"/>
      <c r="B5" s="640"/>
      <c r="C5" s="194"/>
      <c r="D5" s="213"/>
      <c r="E5" s="644"/>
      <c r="F5" s="644"/>
      <c r="G5" s="644"/>
      <c r="H5" s="647"/>
      <c r="I5" s="353"/>
      <c r="J5" s="353"/>
      <c r="K5" s="353"/>
      <c r="L5" s="704"/>
    </row>
    <row r="6" spans="1:12" ht="14.25" customHeight="1">
      <c r="A6" s="188"/>
      <c r="B6" s="793" t="s">
        <v>159</v>
      </c>
      <c r="C6" s="793"/>
      <c r="D6" s="214"/>
      <c r="E6" s="354">
        <v>123</v>
      </c>
      <c r="F6" s="354">
        <v>107</v>
      </c>
      <c r="G6" s="354">
        <v>107</v>
      </c>
      <c r="H6" s="354">
        <v>108</v>
      </c>
      <c r="I6" s="354">
        <v>99</v>
      </c>
      <c r="J6" s="354">
        <v>94</v>
      </c>
      <c r="K6" s="644">
        <v>99</v>
      </c>
      <c r="L6" s="705">
        <v>112</v>
      </c>
    </row>
    <row r="7" spans="1:12" ht="14.25" customHeight="1">
      <c r="A7" s="188"/>
      <c r="B7" s="793" t="s">
        <v>160</v>
      </c>
      <c r="C7" s="793"/>
      <c r="D7" s="214"/>
      <c r="E7" s="354">
        <v>81</v>
      </c>
      <c r="F7" s="354">
        <v>74</v>
      </c>
      <c r="G7" s="354">
        <v>71</v>
      </c>
      <c r="H7" s="354">
        <v>71</v>
      </c>
      <c r="I7" s="354">
        <v>67</v>
      </c>
      <c r="J7" s="354">
        <v>72</v>
      </c>
      <c r="K7" s="644">
        <v>85</v>
      </c>
      <c r="L7" s="705">
        <v>98</v>
      </c>
    </row>
    <row r="8" spans="1:12" ht="14.25" customHeight="1">
      <c r="A8" s="188"/>
      <c r="B8" s="793" t="s">
        <v>161</v>
      </c>
      <c r="C8" s="793"/>
      <c r="D8" s="214"/>
      <c r="E8" s="354">
        <v>59</v>
      </c>
      <c r="F8" s="354">
        <v>38</v>
      </c>
      <c r="G8" s="354">
        <v>41</v>
      </c>
      <c r="H8" s="354">
        <v>42</v>
      </c>
      <c r="I8" s="354">
        <v>53</v>
      </c>
      <c r="J8" s="354">
        <v>50</v>
      </c>
      <c r="K8" s="644">
        <v>59</v>
      </c>
      <c r="L8" s="705">
        <v>69</v>
      </c>
    </row>
    <row r="9" spans="1:12" ht="14.25" customHeight="1">
      <c r="A9" s="188"/>
      <c r="B9" s="793" t="s">
        <v>162</v>
      </c>
      <c r="C9" s="793"/>
      <c r="D9" s="214"/>
      <c r="E9" s="354">
        <v>73</v>
      </c>
      <c r="F9" s="354">
        <v>71</v>
      </c>
      <c r="G9" s="354">
        <v>67</v>
      </c>
      <c r="H9" s="354">
        <v>76</v>
      </c>
      <c r="I9" s="354">
        <v>97</v>
      </c>
      <c r="J9" s="354">
        <v>70</v>
      </c>
      <c r="K9" s="644">
        <v>67</v>
      </c>
      <c r="L9" s="705">
        <v>72</v>
      </c>
    </row>
    <row r="10" spans="1:12" s="97" customFormat="1" ht="14.25" customHeight="1">
      <c r="A10" s="117"/>
      <c r="B10" s="794" t="s">
        <v>553</v>
      </c>
      <c r="C10" s="794"/>
      <c r="D10" s="215"/>
      <c r="E10" s="354">
        <v>119</v>
      </c>
      <c r="F10" s="354">
        <v>213</v>
      </c>
      <c r="G10" s="354">
        <v>301</v>
      </c>
      <c r="H10" s="354">
        <v>355</v>
      </c>
      <c r="I10" s="354">
        <v>529</v>
      </c>
      <c r="J10" s="354">
        <v>448</v>
      </c>
      <c r="K10" s="644">
        <v>439</v>
      </c>
      <c r="L10" s="705">
        <v>472</v>
      </c>
    </row>
    <row r="11" spans="1:12" ht="14.25" customHeight="1">
      <c r="A11" s="188"/>
      <c r="B11" s="793" t="s">
        <v>163</v>
      </c>
      <c r="C11" s="793"/>
      <c r="D11" s="214"/>
      <c r="E11" s="354">
        <v>20</v>
      </c>
      <c r="F11" s="354">
        <v>37</v>
      </c>
      <c r="G11" s="354">
        <v>69</v>
      </c>
      <c r="H11" s="354">
        <v>53</v>
      </c>
      <c r="I11" s="354">
        <v>63</v>
      </c>
      <c r="J11" s="354">
        <v>56</v>
      </c>
      <c r="K11" s="644">
        <v>75</v>
      </c>
      <c r="L11" s="705">
        <v>111</v>
      </c>
    </row>
    <row r="12" spans="1:12" ht="14.25" customHeight="1">
      <c r="A12" s="188"/>
      <c r="B12" s="793" t="s">
        <v>164</v>
      </c>
      <c r="C12" s="793"/>
      <c r="D12" s="214"/>
      <c r="E12" s="354">
        <v>6</v>
      </c>
      <c r="F12" s="354">
        <v>5</v>
      </c>
      <c r="G12" s="354">
        <v>6</v>
      </c>
      <c r="H12" s="354">
        <v>6</v>
      </c>
      <c r="I12" s="354">
        <v>7</v>
      </c>
      <c r="J12" s="354">
        <v>7</v>
      </c>
      <c r="K12" s="644">
        <v>10</v>
      </c>
      <c r="L12" s="705">
        <v>10</v>
      </c>
    </row>
    <row r="13" spans="1:12" ht="14.25" customHeight="1">
      <c r="A13" s="188"/>
      <c r="B13" s="793" t="s">
        <v>165</v>
      </c>
      <c r="C13" s="793"/>
      <c r="D13" s="214"/>
      <c r="E13" s="354">
        <v>4</v>
      </c>
      <c r="F13" s="354">
        <v>3</v>
      </c>
      <c r="G13" s="354">
        <v>3</v>
      </c>
      <c r="H13" s="354">
        <v>5</v>
      </c>
      <c r="I13" s="354">
        <v>4</v>
      </c>
      <c r="J13" s="354">
        <v>8</v>
      </c>
      <c r="K13" s="644">
        <v>6</v>
      </c>
      <c r="L13" s="705">
        <v>6</v>
      </c>
    </row>
    <row r="14" spans="1:12" ht="14.25" customHeight="1">
      <c r="A14" s="188"/>
      <c r="B14" s="793" t="s">
        <v>166</v>
      </c>
      <c r="C14" s="793"/>
      <c r="D14" s="214"/>
      <c r="E14" s="354">
        <v>8</v>
      </c>
      <c r="F14" s="354">
        <v>6</v>
      </c>
      <c r="G14" s="354">
        <v>6</v>
      </c>
      <c r="H14" s="354">
        <v>5</v>
      </c>
      <c r="I14" s="354">
        <v>6</v>
      </c>
      <c r="J14" s="354">
        <v>7</v>
      </c>
      <c r="K14" s="644">
        <v>5</v>
      </c>
      <c r="L14" s="705">
        <v>8</v>
      </c>
    </row>
    <row r="15" spans="1:12" ht="14.25" customHeight="1">
      <c r="A15" s="188"/>
      <c r="B15" s="793" t="s">
        <v>167</v>
      </c>
      <c r="C15" s="793"/>
      <c r="D15" s="216"/>
      <c r="E15" s="354">
        <v>5</v>
      </c>
      <c r="F15" s="354">
        <v>5</v>
      </c>
      <c r="G15" s="354">
        <v>4</v>
      </c>
      <c r="H15" s="354">
        <v>4</v>
      </c>
      <c r="I15" s="354">
        <v>4</v>
      </c>
      <c r="J15" s="354">
        <v>4</v>
      </c>
      <c r="K15" s="644">
        <v>4</v>
      </c>
      <c r="L15" s="705">
        <v>6</v>
      </c>
    </row>
    <row r="16" spans="1:12" ht="14.25" customHeight="1">
      <c r="A16" s="188"/>
      <c r="B16" s="793" t="s">
        <v>168</v>
      </c>
      <c r="C16" s="793"/>
      <c r="D16" s="214"/>
      <c r="E16" s="354">
        <v>4</v>
      </c>
      <c r="F16" s="354">
        <v>3</v>
      </c>
      <c r="G16" s="354">
        <v>6</v>
      </c>
      <c r="H16" s="354">
        <v>5</v>
      </c>
      <c r="I16" s="354">
        <v>7</v>
      </c>
      <c r="J16" s="354">
        <v>5</v>
      </c>
      <c r="K16" s="644">
        <v>6</v>
      </c>
      <c r="L16" s="705">
        <v>10</v>
      </c>
    </row>
    <row r="17" spans="1:12" ht="14.25" customHeight="1">
      <c r="A17" s="188"/>
      <c r="B17" s="793" t="s">
        <v>169</v>
      </c>
      <c r="C17" s="793"/>
      <c r="D17" s="214"/>
      <c r="E17" s="354">
        <v>1</v>
      </c>
      <c r="F17" s="354">
        <v>1</v>
      </c>
      <c r="G17" s="565">
        <v>0</v>
      </c>
      <c r="H17" s="565">
        <v>0</v>
      </c>
      <c r="I17" s="565">
        <v>0</v>
      </c>
      <c r="J17" s="565">
        <v>0</v>
      </c>
      <c r="K17" s="252">
        <v>0</v>
      </c>
      <c r="L17" s="706" t="s">
        <v>143</v>
      </c>
    </row>
    <row r="18" spans="1:12" ht="14.25" customHeight="1">
      <c r="A18" s="188"/>
      <c r="B18" s="793" t="s">
        <v>170</v>
      </c>
      <c r="C18" s="793"/>
      <c r="D18" s="214"/>
      <c r="E18" s="354">
        <v>3</v>
      </c>
      <c r="F18" s="354">
        <v>3</v>
      </c>
      <c r="G18" s="354">
        <v>4</v>
      </c>
      <c r="H18" s="354">
        <v>5</v>
      </c>
      <c r="I18" s="354">
        <v>6</v>
      </c>
      <c r="J18" s="354">
        <v>6</v>
      </c>
      <c r="K18" s="644">
        <v>7</v>
      </c>
      <c r="L18" s="705">
        <v>9</v>
      </c>
    </row>
    <row r="19" spans="1:12" ht="18" customHeight="1" thickBot="1">
      <c r="A19" s="189"/>
      <c r="B19" s="801" t="s">
        <v>171</v>
      </c>
      <c r="C19" s="801"/>
      <c r="D19" s="217"/>
      <c r="E19" s="355">
        <v>93</v>
      </c>
      <c r="F19" s="355">
        <v>118</v>
      </c>
      <c r="G19" s="355">
        <v>79</v>
      </c>
      <c r="H19" s="355">
        <v>69</v>
      </c>
      <c r="I19" s="355">
        <v>80</v>
      </c>
      <c r="J19" s="355">
        <v>89</v>
      </c>
      <c r="K19" s="646">
        <v>105</v>
      </c>
      <c r="L19" s="707">
        <v>119</v>
      </c>
    </row>
    <row r="20" spans="1:12" ht="18" customHeight="1">
      <c r="A20" s="808"/>
      <c r="B20" s="808"/>
      <c r="C20" s="808"/>
      <c r="D20" s="808"/>
      <c r="E20" s="808"/>
      <c r="F20" s="808"/>
      <c r="G20" s="808"/>
      <c r="I20" s="13"/>
      <c r="K20" s="567"/>
      <c r="L20" s="637" t="s">
        <v>172</v>
      </c>
    </row>
    <row r="21" spans="1:12" ht="20.25" customHeight="1" thickBot="1">
      <c r="A21" s="805" t="s">
        <v>173</v>
      </c>
      <c r="B21" s="805"/>
      <c r="C21" s="805"/>
      <c r="D21" s="805"/>
      <c r="E21" s="805"/>
      <c r="F21" s="805"/>
      <c r="L21" s="606" t="s">
        <v>174</v>
      </c>
    </row>
    <row r="22" spans="1:12" ht="22.5" customHeight="1">
      <c r="A22" s="781" t="s">
        <v>175</v>
      </c>
      <c r="B22" s="768"/>
      <c r="C22" s="806" t="s">
        <v>176</v>
      </c>
      <c r="D22" s="806"/>
      <c r="E22" s="768" t="s">
        <v>177</v>
      </c>
      <c r="F22" s="768"/>
      <c r="G22" s="768"/>
      <c r="H22" s="768" t="s">
        <v>178</v>
      </c>
      <c r="I22" s="768"/>
      <c r="J22" s="768"/>
      <c r="K22" s="190"/>
      <c r="L22" s="191"/>
    </row>
    <row r="23" spans="1:12" ht="15.75" customHeight="1">
      <c r="A23" s="782"/>
      <c r="B23" s="769"/>
      <c r="C23" s="807"/>
      <c r="D23" s="807"/>
      <c r="E23" s="642" t="s">
        <v>179</v>
      </c>
      <c r="F23" s="636" t="s">
        <v>180</v>
      </c>
      <c r="G23" s="636" t="s">
        <v>181</v>
      </c>
      <c r="H23" s="636" t="s">
        <v>182</v>
      </c>
      <c r="I23" s="636" t="s">
        <v>183</v>
      </c>
      <c r="J23" s="636" t="s">
        <v>184</v>
      </c>
      <c r="K23" s="651" t="s">
        <v>185</v>
      </c>
      <c r="L23" s="652" t="s">
        <v>186</v>
      </c>
    </row>
    <row r="24" spans="1:12" ht="15.75" customHeight="1">
      <c r="A24" s="782"/>
      <c r="B24" s="769"/>
      <c r="C24" s="802" t="s">
        <v>187</v>
      </c>
      <c r="D24" s="802"/>
      <c r="E24" s="25" t="s">
        <v>188</v>
      </c>
      <c r="F24" s="26" t="s">
        <v>189</v>
      </c>
      <c r="G24" s="27" t="s">
        <v>190</v>
      </c>
      <c r="H24" s="28" t="s">
        <v>191</v>
      </c>
      <c r="I24" s="26" t="s">
        <v>192</v>
      </c>
      <c r="J24" s="27" t="s">
        <v>193</v>
      </c>
      <c r="K24" s="19"/>
      <c r="L24" s="192"/>
    </row>
    <row r="25" spans="1:12" ht="14.25" customHeight="1">
      <c r="A25" s="803" t="s">
        <v>679</v>
      </c>
      <c r="B25" s="804"/>
      <c r="C25" s="618">
        <f t="shared" ref="C25:C31" si="2">E25+H25</f>
        <v>715</v>
      </c>
      <c r="D25" s="619"/>
      <c r="E25" s="29">
        <f t="shared" ref="E25:E30" si="3">F25-G25</f>
        <v>1145</v>
      </c>
      <c r="F25" s="29">
        <v>1559</v>
      </c>
      <c r="G25" s="29">
        <v>414</v>
      </c>
      <c r="H25" s="29">
        <f t="shared" ref="H25:H33" si="4">I25-J25</f>
        <v>-430</v>
      </c>
      <c r="I25" s="29">
        <v>6295</v>
      </c>
      <c r="J25" s="29">
        <v>6725</v>
      </c>
      <c r="K25" s="29">
        <v>833</v>
      </c>
      <c r="L25" s="446">
        <v>310</v>
      </c>
    </row>
    <row r="26" spans="1:12" ht="14.25" customHeight="1">
      <c r="A26" s="607"/>
      <c r="B26" s="613">
        <v>15</v>
      </c>
      <c r="C26" s="618">
        <f t="shared" si="2"/>
        <v>736</v>
      </c>
      <c r="D26" s="619"/>
      <c r="E26" s="29">
        <f t="shared" si="3"/>
        <v>1143</v>
      </c>
      <c r="F26" s="29">
        <v>1621</v>
      </c>
      <c r="G26" s="29">
        <v>478</v>
      </c>
      <c r="H26" s="29">
        <f t="shared" si="4"/>
        <v>-407</v>
      </c>
      <c r="I26" s="29">
        <v>6152</v>
      </c>
      <c r="J26" s="29">
        <v>6559</v>
      </c>
      <c r="K26" s="29">
        <v>771</v>
      </c>
      <c r="L26" s="446">
        <v>296</v>
      </c>
    </row>
    <row r="27" spans="1:12" ht="14.25" customHeight="1">
      <c r="A27" s="607"/>
      <c r="B27" s="613">
        <v>16</v>
      </c>
      <c r="C27" s="618">
        <f t="shared" si="2"/>
        <v>589</v>
      </c>
      <c r="D27" s="619"/>
      <c r="E27" s="29">
        <f t="shared" si="3"/>
        <v>1041</v>
      </c>
      <c r="F27" s="29">
        <v>1542</v>
      </c>
      <c r="G27" s="29">
        <v>501</v>
      </c>
      <c r="H27" s="29">
        <f t="shared" si="4"/>
        <v>-452</v>
      </c>
      <c r="I27" s="29">
        <v>6092</v>
      </c>
      <c r="J27" s="29">
        <v>6544</v>
      </c>
      <c r="K27" s="29">
        <v>781</v>
      </c>
      <c r="L27" s="446">
        <v>304</v>
      </c>
    </row>
    <row r="28" spans="1:12" ht="14.25" customHeight="1">
      <c r="A28" s="607"/>
      <c r="B28" s="613">
        <v>17</v>
      </c>
      <c r="C28" s="618">
        <f t="shared" si="2"/>
        <v>947</v>
      </c>
      <c r="D28" s="619"/>
      <c r="E28" s="29">
        <f t="shared" si="3"/>
        <v>975</v>
      </c>
      <c r="F28" s="29">
        <v>1478</v>
      </c>
      <c r="G28" s="29">
        <v>503</v>
      </c>
      <c r="H28" s="29">
        <f t="shared" si="4"/>
        <v>-28</v>
      </c>
      <c r="I28" s="29">
        <v>6251</v>
      </c>
      <c r="J28" s="29">
        <v>6279</v>
      </c>
      <c r="K28" s="29">
        <v>798</v>
      </c>
      <c r="L28" s="446">
        <v>327</v>
      </c>
    </row>
    <row r="29" spans="1:12" ht="14.25" customHeight="1">
      <c r="A29" s="607"/>
      <c r="B29" s="613">
        <v>18</v>
      </c>
      <c r="C29" s="618">
        <f t="shared" si="2"/>
        <v>874</v>
      </c>
      <c r="D29" s="619"/>
      <c r="E29" s="29">
        <f t="shared" si="3"/>
        <v>1022</v>
      </c>
      <c r="F29" s="29">
        <v>1525</v>
      </c>
      <c r="G29" s="29">
        <v>503</v>
      </c>
      <c r="H29" s="23">
        <f t="shared" si="4"/>
        <v>-148</v>
      </c>
      <c r="I29" s="29">
        <v>6144</v>
      </c>
      <c r="J29" s="29">
        <v>6292</v>
      </c>
      <c r="K29" s="29">
        <v>1282</v>
      </c>
      <c r="L29" s="446">
        <v>444</v>
      </c>
    </row>
    <row r="30" spans="1:12" ht="14.25" customHeight="1">
      <c r="A30" s="607"/>
      <c r="B30" s="613">
        <v>19</v>
      </c>
      <c r="C30" s="618">
        <f t="shared" si="2"/>
        <v>786</v>
      </c>
      <c r="D30" s="619"/>
      <c r="E30" s="29">
        <f t="shared" si="3"/>
        <v>908</v>
      </c>
      <c r="F30" s="29">
        <v>1503</v>
      </c>
      <c r="G30" s="29">
        <v>595</v>
      </c>
      <c r="H30" s="23">
        <f t="shared" si="4"/>
        <v>-122</v>
      </c>
      <c r="I30" s="29">
        <v>6076</v>
      </c>
      <c r="J30" s="29">
        <v>6198</v>
      </c>
      <c r="K30" s="29">
        <v>1206</v>
      </c>
      <c r="L30" s="446">
        <v>440</v>
      </c>
    </row>
    <row r="31" spans="1:12" ht="14.25" customHeight="1">
      <c r="A31" s="607"/>
      <c r="B31" s="613">
        <v>20</v>
      </c>
      <c r="C31" s="618">
        <f t="shared" si="2"/>
        <v>689</v>
      </c>
      <c r="D31" s="619"/>
      <c r="E31" s="29">
        <f>F31-G31</f>
        <v>957</v>
      </c>
      <c r="F31" s="29">
        <v>1516</v>
      </c>
      <c r="G31" s="29">
        <v>559</v>
      </c>
      <c r="H31" s="23">
        <f t="shared" si="4"/>
        <v>-268</v>
      </c>
      <c r="I31" s="29">
        <v>5782</v>
      </c>
      <c r="J31" s="29">
        <v>6050</v>
      </c>
      <c r="K31" s="29">
        <v>1371</v>
      </c>
      <c r="L31" s="446">
        <v>463</v>
      </c>
    </row>
    <row r="32" spans="1:12" ht="14.25" customHeight="1">
      <c r="A32" s="607"/>
      <c r="B32" s="613">
        <v>21</v>
      </c>
      <c r="C32" s="618">
        <f>E32+H32</f>
        <v>883</v>
      </c>
      <c r="D32" s="619"/>
      <c r="E32" s="29">
        <f t="shared" ref="E32:E36" si="5">F32-G32</f>
        <v>967</v>
      </c>
      <c r="F32" s="29">
        <v>1544</v>
      </c>
      <c r="G32" s="29">
        <v>577</v>
      </c>
      <c r="H32" s="23">
        <f t="shared" si="4"/>
        <v>-84</v>
      </c>
      <c r="I32" s="29">
        <v>5675</v>
      </c>
      <c r="J32" s="29">
        <v>5759</v>
      </c>
      <c r="K32" s="29">
        <v>1301</v>
      </c>
      <c r="L32" s="446">
        <v>411</v>
      </c>
    </row>
    <row r="33" spans="1:12" ht="14.25" customHeight="1">
      <c r="A33" s="607"/>
      <c r="B33" s="613">
        <v>22</v>
      </c>
      <c r="C33" s="618">
        <f t="shared" ref="C33:C35" si="6">E33+H33</f>
        <v>657</v>
      </c>
      <c r="D33" s="619"/>
      <c r="E33" s="29">
        <f t="shared" si="5"/>
        <v>853</v>
      </c>
      <c r="F33" s="29">
        <v>1507</v>
      </c>
      <c r="G33" s="29">
        <v>654</v>
      </c>
      <c r="H33" s="29">
        <f t="shared" si="4"/>
        <v>-196</v>
      </c>
      <c r="I33" s="29">
        <v>5698</v>
      </c>
      <c r="J33" s="29">
        <v>5894</v>
      </c>
      <c r="K33" s="31">
        <v>1318</v>
      </c>
      <c r="L33" s="447">
        <v>443</v>
      </c>
    </row>
    <row r="34" spans="1:12" ht="14.25" customHeight="1">
      <c r="A34" s="607"/>
      <c r="B34" s="613">
        <v>23</v>
      </c>
      <c r="C34" s="618">
        <f t="shared" si="6"/>
        <v>727</v>
      </c>
      <c r="D34" s="619"/>
      <c r="E34" s="29">
        <f t="shared" si="5"/>
        <v>859</v>
      </c>
      <c r="F34" s="29">
        <v>1542</v>
      </c>
      <c r="G34" s="29">
        <v>683</v>
      </c>
      <c r="H34" s="29">
        <f>I34-J34</f>
        <v>-132</v>
      </c>
      <c r="I34" s="29">
        <v>5604</v>
      </c>
      <c r="J34" s="29">
        <v>5736</v>
      </c>
      <c r="K34" s="32">
        <v>1222</v>
      </c>
      <c r="L34" s="448">
        <v>475</v>
      </c>
    </row>
    <row r="35" spans="1:12" ht="14.25" customHeight="1">
      <c r="A35" s="607"/>
      <c r="B35" s="613">
        <v>24</v>
      </c>
      <c r="C35" s="618">
        <f t="shared" si="6"/>
        <v>1573</v>
      </c>
      <c r="D35" s="619"/>
      <c r="E35" s="29">
        <f t="shared" si="5"/>
        <v>899</v>
      </c>
      <c r="F35" s="112">
        <v>1540</v>
      </c>
      <c r="G35" s="112">
        <v>641</v>
      </c>
      <c r="H35" s="29">
        <f t="shared" ref="H35:H36" si="7">I35-J35</f>
        <v>674</v>
      </c>
      <c r="I35" s="112">
        <v>6298</v>
      </c>
      <c r="J35" s="112">
        <v>5624</v>
      </c>
      <c r="K35" s="112">
        <v>1271</v>
      </c>
      <c r="L35" s="449">
        <v>428</v>
      </c>
    </row>
    <row r="36" spans="1:12" s="30" customFormat="1" ht="14.25" customHeight="1">
      <c r="A36" s="607"/>
      <c r="B36" s="613">
        <v>25</v>
      </c>
      <c r="C36" s="618">
        <f>E36+H36</f>
        <v>494</v>
      </c>
      <c r="D36" s="619"/>
      <c r="E36" s="29">
        <f t="shared" si="5"/>
        <v>812</v>
      </c>
      <c r="F36" s="112">
        <v>1452</v>
      </c>
      <c r="G36" s="112">
        <v>640</v>
      </c>
      <c r="H36" s="29">
        <f t="shared" si="7"/>
        <v>-318</v>
      </c>
      <c r="I36" s="112">
        <v>6024</v>
      </c>
      <c r="J36" s="112">
        <v>6342</v>
      </c>
      <c r="K36" s="112">
        <v>1319</v>
      </c>
      <c r="L36" s="449">
        <v>423</v>
      </c>
    </row>
    <row r="37" spans="1:12" s="30" customFormat="1" ht="14.25" customHeight="1">
      <c r="A37" s="607"/>
      <c r="B37" s="613">
        <v>26</v>
      </c>
      <c r="C37" s="620">
        <f>E37+H37</f>
        <v>28</v>
      </c>
      <c r="D37" s="621"/>
      <c r="E37" s="112">
        <f>F37-G37</f>
        <v>720</v>
      </c>
      <c r="F37" s="112">
        <v>1391</v>
      </c>
      <c r="G37" s="112">
        <v>671</v>
      </c>
      <c r="H37" s="112">
        <f>I37-J37</f>
        <v>-692</v>
      </c>
      <c r="I37" s="112">
        <v>5587</v>
      </c>
      <c r="J37" s="112">
        <v>6279</v>
      </c>
      <c r="K37" s="112">
        <v>1282</v>
      </c>
      <c r="L37" s="449">
        <v>434</v>
      </c>
    </row>
    <row r="38" spans="1:12" s="30" customFormat="1" ht="14.25" customHeight="1">
      <c r="A38" s="607"/>
      <c r="B38" s="613">
        <v>27</v>
      </c>
      <c r="C38" s="617">
        <f>E38+H38</f>
        <v>-80</v>
      </c>
      <c r="D38" s="623"/>
      <c r="E38" s="112">
        <f>F38-G38</f>
        <v>746</v>
      </c>
      <c r="F38" s="112">
        <v>1433</v>
      </c>
      <c r="G38" s="112">
        <v>687</v>
      </c>
      <c r="H38" s="112">
        <f>I38-J38</f>
        <v>-826</v>
      </c>
      <c r="I38" s="112">
        <v>5477</v>
      </c>
      <c r="J38" s="112">
        <v>6303</v>
      </c>
      <c r="K38" s="112">
        <v>1296</v>
      </c>
      <c r="L38" s="449">
        <v>442</v>
      </c>
    </row>
    <row r="39" spans="1:12" s="30" customFormat="1" ht="14.25" customHeight="1">
      <c r="A39" s="607"/>
      <c r="B39" s="613">
        <v>28</v>
      </c>
      <c r="C39" s="617">
        <f>E39+H39</f>
        <v>152</v>
      </c>
      <c r="D39" s="623"/>
      <c r="E39" s="112">
        <f>F39-G39</f>
        <v>620</v>
      </c>
      <c r="F39" s="112">
        <v>1350</v>
      </c>
      <c r="G39" s="112">
        <v>730</v>
      </c>
      <c r="H39" s="112">
        <v>-468</v>
      </c>
      <c r="I39" s="112">
        <v>5854</v>
      </c>
      <c r="J39" s="112">
        <v>6322</v>
      </c>
      <c r="K39" s="112">
        <v>1281</v>
      </c>
      <c r="L39" s="449">
        <v>431</v>
      </c>
    </row>
    <row r="40" spans="1:12" s="30" customFormat="1" ht="14.25" customHeight="1">
      <c r="A40" s="607"/>
      <c r="B40" s="613">
        <v>29</v>
      </c>
      <c r="C40" s="810">
        <f t="shared" ref="C40" si="8">E40+H40</f>
        <v>35</v>
      </c>
      <c r="D40" s="810"/>
      <c r="E40" s="624">
        <f t="shared" ref="E40" si="9">F40-G40</f>
        <v>554</v>
      </c>
      <c r="F40" s="624">
        <v>1291</v>
      </c>
      <c r="G40" s="624">
        <v>737</v>
      </c>
      <c r="H40" s="624">
        <f>I40-J40</f>
        <v>-519</v>
      </c>
      <c r="I40" s="624">
        <v>5634</v>
      </c>
      <c r="J40" s="624">
        <v>6153</v>
      </c>
      <c r="K40" s="624">
        <v>1244</v>
      </c>
      <c r="L40" s="625">
        <v>416</v>
      </c>
    </row>
    <row r="41" spans="1:12" s="99" customFormat="1" ht="14.25" customHeight="1">
      <c r="A41" s="607"/>
      <c r="B41" s="613">
        <v>30</v>
      </c>
      <c r="C41" s="810">
        <f t="shared" ref="C41" si="10">E41+H41</f>
        <v>159</v>
      </c>
      <c r="D41" s="810"/>
      <c r="E41" s="624">
        <f t="shared" ref="E41" si="11">F41-G41</f>
        <v>513</v>
      </c>
      <c r="F41" s="624">
        <f>SUM(F43:F54)</f>
        <v>1250</v>
      </c>
      <c r="G41" s="624">
        <f>SUM(G43:G54)</f>
        <v>737</v>
      </c>
      <c r="H41" s="624">
        <f>I41-J41</f>
        <v>-354</v>
      </c>
      <c r="I41" s="624">
        <f>SUM(I43:I54)</f>
        <v>5825</v>
      </c>
      <c r="J41" s="624">
        <f>SUM(J43:J54)</f>
        <v>6179</v>
      </c>
      <c r="K41" s="624">
        <f>SUM(K43:K54)</f>
        <v>1240</v>
      </c>
      <c r="L41" s="625">
        <f>SUM(L43:L54)</f>
        <v>431</v>
      </c>
    </row>
    <row r="42" spans="1:12" s="99" customFormat="1" ht="9.9499999999999993" customHeight="1">
      <c r="A42" s="612"/>
      <c r="B42" s="613"/>
      <c r="C42" s="713"/>
      <c r="D42" s="624"/>
      <c r="E42" s="624"/>
      <c r="F42" s="624"/>
      <c r="G42" s="624"/>
      <c r="H42" s="624"/>
      <c r="I42" s="624"/>
      <c r="J42" s="624"/>
      <c r="K42" s="624"/>
      <c r="L42" s="625"/>
    </row>
    <row r="43" spans="1:12" s="99" customFormat="1" ht="14.25" customHeight="1">
      <c r="A43" s="811" t="s">
        <v>678</v>
      </c>
      <c r="B43" s="812"/>
      <c r="C43" s="809">
        <f t="shared" ref="C43:C54" si="12">E43+H43</f>
        <v>13</v>
      </c>
      <c r="D43" s="809"/>
      <c r="E43" s="624">
        <f t="shared" ref="E43:E54" si="13">F43-G43</f>
        <v>65</v>
      </c>
      <c r="F43" s="624">
        <v>131</v>
      </c>
      <c r="G43" s="624">
        <v>66</v>
      </c>
      <c r="H43" s="624">
        <f t="shared" ref="H43:H54" si="14">I43-J43</f>
        <v>-52</v>
      </c>
      <c r="I43" s="624">
        <v>351</v>
      </c>
      <c r="J43" s="624">
        <v>403</v>
      </c>
      <c r="K43" s="624">
        <v>99</v>
      </c>
      <c r="L43" s="625">
        <v>28</v>
      </c>
    </row>
    <row r="44" spans="1:12" s="97" customFormat="1" ht="14.25" customHeight="1">
      <c r="A44" s="614"/>
      <c r="B44" s="1033" t="s">
        <v>712</v>
      </c>
      <c r="C44" s="809">
        <f t="shared" si="12"/>
        <v>6</v>
      </c>
      <c r="D44" s="809"/>
      <c r="E44" s="624">
        <f t="shared" si="13"/>
        <v>16</v>
      </c>
      <c r="F44" s="624">
        <v>87</v>
      </c>
      <c r="G44" s="624">
        <v>71</v>
      </c>
      <c r="H44" s="624">
        <f t="shared" si="14"/>
        <v>-10</v>
      </c>
      <c r="I44" s="624">
        <v>408</v>
      </c>
      <c r="J44" s="624">
        <v>418</v>
      </c>
      <c r="K44" s="624">
        <v>101</v>
      </c>
      <c r="L44" s="625">
        <v>29</v>
      </c>
    </row>
    <row r="45" spans="1:12" s="97" customFormat="1" ht="14.25" customHeight="1">
      <c r="A45" s="614"/>
      <c r="B45" s="1033" t="s">
        <v>713</v>
      </c>
      <c r="C45" s="809">
        <f t="shared" si="12"/>
        <v>-944</v>
      </c>
      <c r="D45" s="809"/>
      <c r="E45" s="624">
        <f t="shared" si="13"/>
        <v>52</v>
      </c>
      <c r="F45" s="624">
        <v>113</v>
      </c>
      <c r="G45" s="624">
        <v>61</v>
      </c>
      <c r="H45" s="624">
        <f t="shared" si="14"/>
        <v>-996</v>
      </c>
      <c r="I45" s="624">
        <v>725</v>
      </c>
      <c r="J45" s="624">
        <v>1721</v>
      </c>
      <c r="K45" s="624">
        <v>115</v>
      </c>
      <c r="L45" s="625">
        <v>53</v>
      </c>
    </row>
    <row r="46" spans="1:12" s="97" customFormat="1" ht="14.25" customHeight="1">
      <c r="A46" s="614"/>
      <c r="B46" s="1033" t="s">
        <v>714</v>
      </c>
      <c r="C46" s="809">
        <f t="shared" si="12"/>
        <v>443</v>
      </c>
      <c r="D46" s="809"/>
      <c r="E46" s="624">
        <f t="shared" si="13"/>
        <v>26</v>
      </c>
      <c r="F46" s="624">
        <v>72</v>
      </c>
      <c r="G46" s="624">
        <v>46</v>
      </c>
      <c r="H46" s="624">
        <f t="shared" si="14"/>
        <v>417</v>
      </c>
      <c r="I46" s="624">
        <v>957</v>
      </c>
      <c r="J46" s="624">
        <v>540</v>
      </c>
      <c r="K46" s="624">
        <v>110</v>
      </c>
      <c r="L46" s="625">
        <v>39</v>
      </c>
    </row>
    <row r="47" spans="1:12" s="97" customFormat="1" ht="14.25" customHeight="1">
      <c r="A47" s="614"/>
      <c r="B47" s="1033" t="s">
        <v>720</v>
      </c>
      <c r="C47" s="809">
        <f t="shared" si="12"/>
        <v>123</v>
      </c>
      <c r="D47" s="809"/>
      <c r="E47" s="624">
        <f t="shared" si="13"/>
        <v>30</v>
      </c>
      <c r="F47" s="624">
        <v>95</v>
      </c>
      <c r="G47" s="624">
        <v>65</v>
      </c>
      <c r="H47" s="624">
        <f t="shared" si="14"/>
        <v>93</v>
      </c>
      <c r="I47" s="624">
        <v>523</v>
      </c>
      <c r="J47" s="624">
        <v>430</v>
      </c>
      <c r="K47" s="624">
        <v>89</v>
      </c>
      <c r="L47" s="625">
        <v>38</v>
      </c>
    </row>
    <row r="48" spans="1:12" s="97" customFormat="1" ht="14.25" customHeight="1">
      <c r="A48" s="614"/>
      <c r="B48" s="1033" t="s">
        <v>715</v>
      </c>
      <c r="C48" s="809">
        <f t="shared" si="12"/>
        <v>-1</v>
      </c>
      <c r="D48" s="809"/>
      <c r="E48" s="624">
        <f t="shared" si="13"/>
        <v>53</v>
      </c>
      <c r="F48" s="624">
        <v>115</v>
      </c>
      <c r="G48" s="624">
        <v>62</v>
      </c>
      <c r="H48" s="624">
        <f t="shared" si="14"/>
        <v>-54</v>
      </c>
      <c r="I48" s="624">
        <v>335</v>
      </c>
      <c r="J48" s="624">
        <v>389</v>
      </c>
      <c r="K48" s="624">
        <v>66</v>
      </c>
      <c r="L48" s="625">
        <v>42</v>
      </c>
    </row>
    <row r="49" spans="1:12" s="97" customFormat="1" ht="14.25" customHeight="1">
      <c r="A49" s="614"/>
      <c r="B49" s="1033" t="s">
        <v>716</v>
      </c>
      <c r="C49" s="809">
        <f t="shared" si="12"/>
        <v>221</v>
      </c>
      <c r="D49" s="809"/>
      <c r="E49" s="624">
        <f t="shared" si="13"/>
        <v>60</v>
      </c>
      <c r="F49" s="624">
        <v>119</v>
      </c>
      <c r="G49" s="624">
        <v>59</v>
      </c>
      <c r="H49" s="624">
        <f t="shared" si="14"/>
        <v>161</v>
      </c>
      <c r="I49" s="624">
        <v>558</v>
      </c>
      <c r="J49" s="624">
        <v>397</v>
      </c>
      <c r="K49" s="624">
        <v>104</v>
      </c>
      <c r="L49" s="625">
        <v>28</v>
      </c>
    </row>
    <row r="50" spans="1:12" s="97" customFormat="1" ht="14.25" customHeight="1">
      <c r="A50" s="614"/>
      <c r="B50" s="1033" t="s">
        <v>717</v>
      </c>
      <c r="C50" s="809">
        <f t="shared" si="12"/>
        <v>98</v>
      </c>
      <c r="D50" s="809"/>
      <c r="E50" s="624">
        <f t="shared" si="13"/>
        <v>51</v>
      </c>
      <c r="F50" s="624">
        <v>114</v>
      </c>
      <c r="G50" s="624">
        <v>63</v>
      </c>
      <c r="H50" s="624">
        <f t="shared" si="14"/>
        <v>47</v>
      </c>
      <c r="I50" s="624">
        <v>436</v>
      </c>
      <c r="J50" s="624">
        <v>389</v>
      </c>
      <c r="K50" s="624">
        <v>118</v>
      </c>
      <c r="L50" s="625">
        <v>34</v>
      </c>
    </row>
    <row r="51" spans="1:12" s="97" customFormat="1" ht="14.25" customHeight="1">
      <c r="A51" s="614"/>
      <c r="B51" s="1033" t="s">
        <v>718</v>
      </c>
      <c r="C51" s="809">
        <f t="shared" si="12"/>
        <v>-81</v>
      </c>
      <c r="D51" s="809"/>
      <c r="E51" s="624">
        <f t="shared" si="13"/>
        <v>42</v>
      </c>
      <c r="F51" s="624">
        <v>98</v>
      </c>
      <c r="G51" s="624">
        <v>56</v>
      </c>
      <c r="H51" s="624">
        <f t="shared" si="14"/>
        <v>-123</v>
      </c>
      <c r="I51" s="624">
        <v>306</v>
      </c>
      <c r="J51" s="624">
        <v>429</v>
      </c>
      <c r="K51" s="624">
        <v>132</v>
      </c>
      <c r="L51" s="625">
        <v>26</v>
      </c>
    </row>
    <row r="52" spans="1:12" s="97" customFormat="1" ht="14.25" customHeight="1">
      <c r="A52" s="614"/>
      <c r="B52" s="1033" t="s">
        <v>719</v>
      </c>
      <c r="C52" s="809">
        <f t="shared" si="12"/>
        <v>59</v>
      </c>
      <c r="D52" s="809"/>
      <c r="E52" s="624">
        <f t="shared" si="13"/>
        <v>48</v>
      </c>
      <c r="F52" s="624">
        <v>119</v>
      </c>
      <c r="G52" s="624">
        <v>71</v>
      </c>
      <c r="H52" s="624">
        <f t="shared" si="14"/>
        <v>11</v>
      </c>
      <c r="I52" s="624">
        <v>404</v>
      </c>
      <c r="J52" s="624">
        <v>393</v>
      </c>
      <c r="K52" s="624">
        <v>84</v>
      </c>
      <c r="L52" s="625">
        <v>44</v>
      </c>
    </row>
    <row r="53" spans="1:12" s="97" customFormat="1" ht="14.25" customHeight="1">
      <c r="A53" s="614"/>
      <c r="B53" s="1033" t="s">
        <v>721</v>
      </c>
      <c r="C53" s="809">
        <f t="shared" si="12"/>
        <v>113</v>
      </c>
      <c r="D53" s="809"/>
      <c r="E53" s="624">
        <f t="shared" si="13"/>
        <v>37</v>
      </c>
      <c r="F53" s="624">
        <v>102</v>
      </c>
      <c r="G53" s="624">
        <v>65</v>
      </c>
      <c r="H53" s="624">
        <f t="shared" si="14"/>
        <v>76</v>
      </c>
      <c r="I53" s="624">
        <v>421</v>
      </c>
      <c r="J53" s="624">
        <v>345</v>
      </c>
      <c r="K53" s="624">
        <v>127</v>
      </c>
      <c r="L53" s="625">
        <v>35</v>
      </c>
    </row>
    <row r="54" spans="1:12" s="97" customFormat="1" ht="14.25" customHeight="1" thickBot="1">
      <c r="A54" s="731"/>
      <c r="B54" s="1033" t="s">
        <v>285</v>
      </c>
      <c r="C54" s="813">
        <f t="shared" si="12"/>
        <v>109</v>
      </c>
      <c r="D54" s="813"/>
      <c r="E54" s="708">
        <f t="shared" si="13"/>
        <v>33</v>
      </c>
      <c r="F54" s="708">
        <v>85</v>
      </c>
      <c r="G54" s="708">
        <v>52</v>
      </c>
      <c r="H54" s="708">
        <f t="shared" si="14"/>
        <v>76</v>
      </c>
      <c r="I54" s="708">
        <v>401</v>
      </c>
      <c r="J54" s="708">
        <v>325</v>
      </c>
      <c r="K54" s="708">
        <v>95</v>
      </c>
      <c r="L54" s="709">
        <v>35</v>
      </c>
    </row>
    <row r="55" spans="1:12" s="97" customFormat="1" ht="14.25" customHeight="1">
      <c r="A55" s="395" t="s">
        <v>527</v>
      </c>
      <c r="B55" s="395"/>
      <c r="C55" s="396"/>
      <c r="D55" s="24"/>
      <c r="E55" s="24"/>
      <c r="F55" s="24"/>
      <c r="G55" s="24"/>
      <c r="H55" s="24"/>
      <c r="I55" s="396"/>
      <c r="J55" s="24"/>
      <c r="K55" s="24"/>
      <c r="L55" s="14" t="s">
        <v>172</v>
      </c>
    </row>
    <row r="56" spans="1:12" ht="18" customHeight="1">
      <c r="B56" s="14"/>
    </row>
  </sheetData>
  <sheetProtection sheet="1" objects="1" scenarios="1"/>
  <mergeCells count="39">
    <mergeCell ref="C54:D54"/>
    <mergeCell ref="C48:D48"/>
    <mergeCell ref="C49:D49"/>
    <mergeCell ref="C50:D50"/>
    <mergeCell ref="C51:D51"/>
    <mergeCell ref="C52:D52"/>
    <mergeCell ref="C53:D53"/>
    <mergeCell ref="C47:D47"/>
    <mergeCell ref="C40:D40"/>
    <mergeCell ref="C41:D41"/>
    <mergeCell ref="A43:B43"/>
    <mergeCell ref="C43:D43"/>
    <mergeCell ref="C44:D44"/>
    <mergeCell ref="C45:D45"/>
    <mergeCell ref="C46:D46"/>
    <mergeCell ref="B19:C19"/>
    <mergeCell ref="H22:J22"/>
    <mergeCell ref="C24:D24"/>
    <mergeCell ref="A25:B25"/>
    <mergeCell ref="A21:F21"/>
    <mergeCell ref="A22:B24"/>
    <mergeCell ref="C22:D23"/>
    <mergeCell ref="E22:G22"/>
    <mergeCell ref="A20:G20"/>
    <mergeCell ref="A3:D3"/>
    <mergeCell ref="A4:D4"/>
    <mergeCell ref="B6:C6"/>
    <mergeCell ref="B7:C7"/>
    <mergeCell ref="B8:C8"/>
    <mergeCell ref="B9:C9"/>
    <mergeCell ref="B10:C10"/>
    <mergeCell ref="B11:C11"/>
    <mergeCell ref="B12:C12"/>
    <mergeCell ref="B13:C13"/>
    <mergeCell ref="B15:C15"/>
    <mergeCell ref="B16:C16"/>
    <mergeCell ref="B17:C17"/>
    <mergeCell ref="B18:C18"/>
    <mergeCell ref="B14:C14"/>
  </mergeCells>
  <phoneticPr fontId="17"/>
  <printOptions horizontalCentered="1"/>
  <pageMargins left="0.59055118110236227" right="0.59055118110236227" top="0.59055118110236227" bottom="0.59055118110236227" header="0.39370078740157483" footer="0.39370078740157483"/>
  <pageSetup paperSize="9" firstPageNumber="0" orientation="portrait" verticalDpi="300" r:id="rId1"/>
  <headerFooter scaleWithDoc="0" alignWithMargins="0">
    <oddHeader>&amp;L&amp;"ＭＳ 明朝,標準"&amp;10人　口</oddHeader>
    <oddFooter>&amp;C&amp;"ＭＳ 明朝,標準"&amp;12&amp;A</oddFooter>
  </headerFooter>
  <colBreaks count="1" manualBreakCount="1">
    <brk id="12" max="1048575" man="1"/>
  </colBreaks>
  <ignoredErrors>
    <ignoredError sqref="B44:B54" numberStoredAsText="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P50"/>
  <sheetViews>
    <sheetView view="pageBreakPreview" zoomScaleNormal="120" zoomScaleSheetLayoutView="100" workbookViewId="0">
      <selection activeCell="E7" sqref="E7"/>
    </sheetView>
  </sheetViews>
  <sheetFormatPr defaultRowHeight="15.95" customHeight="1"/>
  <cols>
    <col min="1" max="1" width="1.25" style="111" customWidth="1"/>
    <col min="2" max="2" width="8.625" style="111" customWidth="1"/>
    <col min="3" max="3" width="7.375" style="111" customWidth="1"/>
    <col min="4" max="4" width="7.625" style="439" customWidth="1"/>
    <col min="5" max="5" width="7.625" style="111" customWidth="1"/>
    <col min="6" max="6" width="7.625" style="439" customWidth="1"/>
    <col min="7" max="7" width="7.625" style="111" customWidth="1"/>
    <col min="8" max="8" width="1.25" style="111" customWidth="1"/>
    <col min="9" max="9" width="8.625" style="111" customWidth="1"/>
    <col min="10" max="10" width="6.25" style="111" customWidth="1"/>
    <col min="11" max="11" width="7.125" style="439" customWidth="1"/>
    <col min="12" max="12" width="6.375" style="111" customWidth="1"/>
    <col min="13" max="13" width="7.125" style="439" customWidth="1"/>
    <col min="14" max="14" width="7.5" style="111" customWidth="1"/>
    <col min="15" max="16384" width="9" style="111"/>
  </cols>
  <sheetData>
    <row r="1" spans="1:15" ht="5.0999999999999996" customHeight="1">
      <c r="B1" s="13"/>
      <c r="C1" s="13"/>
      <c r="D1" s="431"/>
      <c r="E1" s="13"/>
      <c r="F1" s="431"/>
      <c r="G1" s="13"/>
      <c r="H1" s="13"/>
      <c r="I1" s="13"/>
      <c r="J1" s="13"/>
      <c r="K1" s="431"/>
      <c r="L1" s="13"/>
      <c r="M1" s="431"/>
      <c r="N1" s="14"/>
    </row>
    <row r="2" spans="1:15" ht="15" customHeight="1" thickBot="1">
      <c r="A2" s="824" t="s">
        <v>711</v>
      </c>
      <c r="B2" s="824"/>
      <c r="C2" s="824"/>
      <c r="D2" s="824"/>
      <c r="E2" s="824"/>
      <c r="F2" s="824"/>
      <c r="G2" s="824"/>
      <c r="H2" s="824"/>
      <c r="I2" s="824"/>
      <c r="J2" s="13"/>
      <c r="K2" s="431"/>
      <c r="L2" s="13"/>
      <c r="M2" s="431"/>
      <c r="N2" s="14" t="s">
        <v>194</v>
      </c>
    </row>
    <row r="3" spans="1:15" s="432" customFormat="1" ht="20.25" customHeight="1">
      <c r="A3" s="795" t="s">
        <v>195</v>
      </c>
      <c r="B3" s="797"/>
      <c r="C3" s="611" t="s">
        <v>415</v>
      </c>
      <c r="D3" s="114" t="s">
        <v>196</v>
      </c>
      <c r="E3" s="611" t="s">
        <v>540</v>
      </c>
      <c r="F3" s="114" t="s">
        <v>196</v>
      </c>
      <c r="G3" s="115" t="s">
        <v>182</v>
      </c>
      <c r="H3" s="785" t="s">
        <v>195</v>
      </c>
      <c r="I3" s="797"/>
      <c r="J3" s="611" t="s">
        <v>541</v>
      </c>
      <c r="K3" s="114" t="s">
        <v>196</v>
      </c>
      <c r="L3" s="611" t="s">
        <v>540</v>
      </c>
      <c r="M3" s="114" t="s">
        <v>196</v>
      </c>
      <c r="N3" s="116" t="s">
        <v>182</v>
      </c>
    </row>
    <row r="4" spans="1:15" s="434" customFormat="1" ht="17.25" customHeight="1">
      <c r="A4" s="827" t="s">
        <v>197</v>
      </c>
      <c r="B4" s="828"/>
      <c r="C4" s="715">
        <f>SUM(C6:C15,C18:C31,J4:J19)</f>
        <v>3395</v>
      </c>
      <c r="D4" s="228">
        <f>SUM(D6:D15,D18:D31,K4:K19)</f>
        <v>0.99999999999999989</v>
      </c>
      <c r="E4" s="716">
        <f>SUM(E6:E15,E18:E31,L4:L19)</f>
        <v>3957</v>
      </c>
      <c r="F4" s="228">
        <f>SUM(F6:F15,F18:F31,M4:M19)</f>
        <v>1</v>
      </c>
      <c r="G4" s="224">
        <f>SUM(G6:G15,G18:G31,N4:N19)</f>
        <v>-562</v>
      </c>
      <c r="H4" s="233"/>
      <c r="I4" s="231" t="s">
        <v>198</v>
      </c>
      <c r="J4" s="717">
        <v>132</v>
      </c>
      <c r="K4" s="228">
        <f t="shared" ref="K4:K19" si="0">J4/$C$4</f>
        <v>3.8880706921944036E-2</v>
      </c>
      <c r="L4" s="718">
        <v>255</v>
      </c>
      <c r="M4" s="228">
        <f>L4/$E$4</f>
        <v>6.4442759666413954E-2</v>
      </c>
      <c r="N4" s="193">
        <f>J4-L4</f>
        <v>-123</v>
      </c>
      <c r="O4" s="433"/>
    </row>
    <row r="5" spans="1:15" s="436" customFormat="1" ht="17.25" customHeight="1">
      <c r="A5" s="435"/>
      <c r="B5" s="231"/>
      <c r="C5" s="108"/>
      <c r="D5" s="221"/>
      <c r="E5" s="223"/>
      <c r="F5" s="221"/>
      <c r="G5" s="224"/>
      <c r="H5" s="233"/>
      <c r="I5" s="231" t="s">
        <v>199</v>
      </c>
      <c r="J5" s="719">
        <v>37</v>
      </c>
      <c r="K5" s="221">
        <f t="shared" si="0"/>
        <v>1.0898379970544918E-2</v>
      </c>
      <c r="L5" s="720">
        <v>56</v>
      </c>
      <c r="M5" s="221">
        <f t="shared" ref="M5:M19" si="1">L5/$E$4</f>
        <v>1.4152135456153651E-2</v>
      </c>
      <c r="N5" s="193">
        <f t="shared" ref="N5:N19" si="2">J5-L5</f>
        <v>-19</v>
      </c>
    </row>
    <row r="6" spans="1:15" s="436" customFormat="1" ht="17.25" customHeight="1">
      <c r="A6" s="435"/>
      <c r="B6" s="231" t="s">
        <v>200</v>
      </c>
      <c r="C6" s="719">
        <v>1179</v>
      </c>
      <c r="D6" s="221">
        <f>C6/$C$4</f>
        <v>0.34727540500736376</v>
      </c>
      <c r="E6" s="720">
        <v>1188</v>
      </c>
      <c r="F6" s="221">
        <f>E6/$E$4</f>
        <v>0.30022744503411675</v>
      </c>
      <c r="G6" s="224">
        <f>C6-E6</f>
        <v>-9</v>
      </c>
      <c r="H6" s="233"/>
      <c r="I6" s="231" t="s">
        <v>201</v>
      </c>
      <c r="J6" s="719">
        <v>42</v>
      </c>
      <c r="K6" s="221">
        <f t="shared" si="0"/>
        <v>1.2371134020618556E-2</v>
      </c>
      <c r="L6" s="720">
        <v>64</v>
      </c>
      <c r="M6" s="221">
        <f t="shared" si="1"/>
        <v>1.6173869092747029E-2</v>
      </c>
      <c r="N6" s="193">
        <f t="shared" si="2"/>
        <v>-22</v>
      </c>
    </row>
    <row r="7" spans="1:15" s="436" customFormat="1" ht="17.25" customHeight="1">
      <c r="A7" s="435"/>
      <c r="B7" s="231" t="s">
        <v>202</v>
      </c>
      <c r="C7" s="719">
        <v>105</v>
      </c>
      <c r="D7" s="221">
        <f t="shared" ref="D7:D15" si="3">C7/$C$4</f>
        <v>3.0927835051546393E-2</v>
      </c>
      <c r="E7" s="720">
        <v>143</v>
      </c>
      <c r="F7" s="221">
        <f t="shared" ref="F7:F15" si="4">E7/$E$4</f>
        <v>3.6138488754106649E-2</v>
      </c>
      <c r="G7" s="224">
        <f t="shared" ref="G7:G15" si="5">C7-E7</f>
        <v>-38</v>
      </c>
      <c r="H7" s="233"/>
      <c r="I7" s="231" t="s">
        <v>203</v>
      </c>
      <c r="J7" s="719">
        <v>66</v>
      </c>
      <c r="K7" s="221">
        <f t="shared" si="0"/>
        <v>1.9440353460972018E-2</v>
      </c>
      <c r="L7" s="720">
        <v>86</v>
      </c>
      <c r="M7" s="221">
        <f t="shared" si="1"/>
        <v>2.1733636593378822E-2</v>
      </c>
      <c r="N7" s="193">
        <f t="shared" si="2"/>
        <v>-20</v>
      </c>
    </row>
    <row r="8" spans="1:15" s="436" customFormat="1" ht="17.25" customHeight="1">
      <c r="A8" s="435"/>
      <c r="B8" s="231" t="s">
        <v>204</v>
      </c>
      <c r="C8" s="719">
        <v>180</v>
      </c>
      <c r="D8" s="221">
        <f t="shared" si="3"/>
        <v>5.3019145802650956E-2</v>
      </c>
      <c r="E8" s="720">
        <v>170</v>
      </c>
      <c r="F8" s="221">
        <f t="shared" si="4"/>
        <v>4.2961839777609298E-2</v>
      </c>
      <c r="G8" s="224">
        <f t="shared" si="5"/>
        <v>10</v>
      </c>
      <c r="H8" s="233"/>
      <c r="I8" s="231" t="s">
        <v>205</v>
      </c>
      <c r="J8" s="719">
        <v>37</v>
      </c>
      <c r="K8" s="221">
        <f t="shared" si="0"/>
        <v>1.0898379970544918E-2</v>
      </c>
      <c r="L8" s="720">
        <v>29</v>
      </c>
      <c r="M8" s="221">
        <f t="shared" si="1"/>
        <v>7.328784432650998E-3</v>
      </c>
      <c r="N8" s="193">
        <f t="shared" si="2"/>
        <v>8</v>
      </c>
    </row>
    <row r="9" spans="1:15" s="436" customFormat="1" ht="17.25" customHeight="1">
      <c r="A9" s="435"/>
      <c r="B9" s="231" t="s">
        <v>206</v>
      </c>
      <c r="C9" s="719">
        <v>501</v>
      </c>
      <c r="D9" s="221">
        <f t="shared" si="3"/>
        <v>0.1475699558173785</v>
      </c>
      <c r="E9" s="720">
        <v>702</v>
      </c>
      <c r="F9" s="221">
        <f t="shared" si="4"/>
        <v>0.177407126611069</v>
      </c>
      <c r="G9" s="224">
        <f t="shared" si="5"/>
        <v>-201</v>
      </c>
      <c r="H9" s="233"/>
      <c r="I9" s="231" t="s">
        <v>207</v>
      </c>
      <c r="J9" s="719">
        <v>2</v>
      </c>
      <c r="K9" s="221">
        <f t="shared" si="0"/>
        <v>5.8910162002945505E-4</v>
      </c>
      <c r="L9" s="720">
        <v>6</v>
      </c>
      <c r="M9" s="221">
        <f t="shared" si="1"/>
        <v>1.5163002274450341E-3</v>
      </c>
      <c r="N9" s="193">
        <f t="shared" si="2"/>
        <v>-4</v>
      </c>
    </row>
    <row r="10" spans="1:15" s="436" customFormat="1" ht="17.25" customHeight="1">
      <c r="A10" s="435"/>
      <c r="B10" s="231" t="s">
        <v>208</v>
      </c>
      <c r="C10" s="719">
        <v>65</v>
      </c>
      <c r="D10" s="221">
        <f t="shared" si="3"/>
        <v>1.9145802650957292E-2</v>
      </c>
      <c r="E10" s="720">
        <v>100</v>
      </c>
      <c r="F10" s="221">
        <f t="shared" si="4"/>
        <v>2.5271670457417236E-2</v>
      </c>
      <c r="G10" s="224">
        <f t="shared" si="5"/>
        <v>-35</v>
      </c>
      <c r="H10" s="233"/>
      <c r="I10" s="231" t="s">
        <v>209</v>
      </c>
      <c r="J10" s="719">
        <v>4</v>
      </c>
      <c r="K10" s="221">
        <f t="shared" si="0"/>
        <v>1.1782032400589101E-3</v>
      </c>
      <c r="L10" s="720">
        <v>4</v>
      </c>
      <c r="M10" s="221">
        <f t="shared" si="1"/>
        <v>1.0108668182966893E-3</v>
      </c>
      <c r="N10" s="193">
        <f t="shared" si="2"/>
        <v>0</v>
      </c>
    </row>
    <row r="11" spans="1:15" s="436" customFormat="1" ht="17.25" customHeight="1">
      <c r="A11" s="435"/>
      <c r="B11" s="231" t="s">
        <v>210</v>
      </c>
      <c r="C11" s="719">
        <v>109</v>
      </c>
      <c r="D11" s="221">
        <f t="shared" si="3"/>
        <v>3.2106038291605299E-2</v>
      </c>
      <c r="E11" s="720">
        <v>184</v>
      </c>
      <c r="F11" s="221">
        <f t="shared" si="4"/>
        <v>4.6499873641647711E-2</v>
      </c>
      <c r="G11" s="224">
        <f t="shared" si="5"/>
        <v>-75</v>
      </c>
      <c r="H11" s="233"/>
      <c r="I11" s="231" t="s">
        <v>211</v>
      </c>
      <c r="J11" s="719">
        <v>0</v>
      </c>
      <c r="K11" s="221">
        <f t="shared" si="0"/>
        <v>0</v>
      </c>
      <c r="L11" s="720">
        <v>2</v>
      </c>
      <c r="M11" s="221">
        <f t="shared" si="1"/>
        <v>5.0543340914834466E-4</v>
      </c>
      <c r="N11" s="193">
        <f t="shared" si="2"/>
        <v>-2</v>
      </c>
    </row>
    <row r="12" spans="1:15" s="436" customFormat="1" ht="17.25" customHeight="1">
      <c r="A12" s="435"/>
      <c r="B12" s="231" t="s">
        <v>212</v>
      </c>
      <c r="C12" s="719">
        <v>166</v>
      </c>
      <c r="D12" s="221">
        <f t="shared" si="3"/>
        <v>4.8895434462444771E-2</v>
      </c>
      <c r="E12" s="720">
        <v>132</v>
      </c>
      <c r="F12" s="221">
        <f t="shared" si="4"/>
        <v>3.3358605003790752E-2</v>
      </c>
      <c r="G12" s="224">
        <f t="shared" si="5"/>
        <v>34</v>
      </c>
      <c r="H12" s="233"/>
      <c r="I12" s="231" t="s">
        <v>213</v>
      </c>
      <c r="J12" s="719">
        <v>2</v>
      </c>
      <c r="K12" s="221">
        <f t="shared" si="0"/>
        <v>5.8910162002945505E-4</v>
      </c>
      <c r="L12" s="720">
        <v>0</v>
      </c>
      <c r="M12" s="221">
        <f t="shared" si="1"/>
        <v>0</v>
      </c>
      <c r="N12" s="193">
        <f t="shared" si="2"/>
        <v>2</v>
      </c>
    </row>
    <row r="13" spans="1:15" s="436" customFormat="1" ht="17.25" customHeight="1">
      <c r="A13" s="435"/>
      <c r="B13" s="231" t="s">
        <v>214</v>
      </c>
      <c r="C13" s="719">
        <v>89</v>
      </c>
      <c r="D13" s="221">
        <f t="shared" si="3"/>
        <v>2.6215022091310752E-2</v>
      </c>
      <c r="E13" s="720">
        <v>110</v>
      </c>
      <c r="F13" s="221">
        <f t="shared" si="4"/>
        <v>2.7798837503158959E-2</v>
      </c>
      <c r="G13" s="224">
        <f t="shared" si="5"/>
        <v>-21</v>
      </c>
      <c r="H13" s="233"/>
      <c r="I13" s="231" t="s">
        <v>215</v>
      </c>
      <c r="J13" s="719">
        <v>12</v>
      </c>
      <c r="K13" s="221">
        <f t="shared" si="0"/>
        <v>3.5346097201767305E-3</v>
      </c>
      <c r="L13" s="720">
        <v>1</v>
      </c>
      <c r="M13" s="221">
        <f t="shared" si="1"/>
        <v>2.5271670457417233E-4</v>
      </c>
      <c r="N13" s="193">
        <f t="shared" si="2"/>
        <v>11</v>
      </c>
    </row>
    <row r="14" spans="1:15" s="436" customFormat="1" ht="17.25" customHeight="1">
      <c r="A14" s="435"/>
      <c r="B14" s="231" t="s">
        <v>216</v>
      </c>
      <c r="C14" s="719">
        <v>190</v>
      </c>
      <c r="D14" s="221">
        <f t="shared" si="3"/>
        <v>5.5964653902798235E-2</v>
      </c>
      <c r="E14" s="720">
        <v>214</v>
      </c>
      <c r="F14" s="221">
        <f t="shared" si="4"/>
        <v>5.4081374778872884E-2</v>
      </c>
      <c r="G14" s="224">
        <f t="shared" si="5"/>
        <v>-24</v>
      </c>
      <c r="H14" s="233"/>
      <c r="I14" s="231" t="s">
        <v>217</v>
      </c>
      <c r="J14" s="719">
        <v>5</v>
      </c>
      <c r="K14" s="221">
        <f t="shared" si="0"/>
        <v>1.4727540500736377E-3</v>
      </c>
      <c r="L14" s="720">
        <v>4</v>
      </c>
      <c r="M14" s="221">
        <f t="shared" si="1"/>
        <v>1.0108668182966893E-3</v>
      </c>
      <c r="N14" s="193">
        <f t="shared" si="2"/>
        <v>1</v>
      </c>
    </row>
    <row r="15" spans="1:15" s="436" customFormat="1" ht="17.25" customHeight="1">
      <c r="A15" s="435"/>
      <c r="B15" s="231" t="s">
        <v>218</v>
      </c>
      <c r="C15" s="719">
        <v>96</v>
      </c>
      <c r="D15" s="221">
        <f t="shared" si="3"/>
        <v>2.8276877761413844E-2</v>
      </c>
      <c r="E15" s="720">
        <v>117</v>
      </c>
      <c r="F15" s="221">
        <f t="shared" si="4"/>
        <v>2.9567854435178165E-2</v>
      </c>
      <c r="G15" s="224">
        <f t="shared" si="5"/>
        <v>-21</v>
      </c>
      <c r="H15" s="233"/>
      <c r="I15" s="231" t="s">
        <v>219</v>
      </c>
      <c r="J15" s="719">
        <v>14</v>
      </c>
      <c r="K15" s="221">
        <f t="shared" si="0"/>
        <v>4.1237113402061857E-3</v>
      </c>
      <c r="L15" s="720">
        <v>4</v>
      </c>
      <c r="M15" s="221">
        <f t="shared" si="1"/>
        <v>1.0108668182966893E-3</v>
      </c>
      <c r="N15" s="193">
        <f t="shared" si="2"/>
        <v>10</v>
      </c>
    </row>
    <row r="16" spans="1:15" s="436" customFormat="1" ht="17.25" customHeight="1">
      <c r="A16" s="829" t="s">
        <v>220</v>
      </c>
      <c r="B16" s="830"/>
      <c r="C16" s="108">
        <f>SUM(C6:C15)</f>
        <v>2680</v>
      </c>
      <c r="D16" s="221">
        <f>SUM(D6:D15)</f>
        <v>0.78939617083946989</v>
      </c>
      <c r="E16" s="223">
        <f>SUM(E6:E15)</f>
        <v>3060</v>
      </c>
      <c r="F16" s="221">
        <f>SUM(F6:F15)</f>
        <v>0.77331311599696739</v>
      </c>
      <c r="G16" s="224">
        <f>SUM(G6:G15)</f>
        <v>-380</v>
      </c>
      <c r="H16" s="233"/>
      <c r="I16" s="231" t="s">
        <v>221</v>
      </c>
      <c r="J16" s="719">
        <v>10</v>
      </c>
      <c r="K16" s="221">
        <f t="shared" si="0"/>
        <v>2.9455081001472753E-3</v>
      </c>
      <c r="L16" s="720">
        <v>10</v>
      </c>
      <c r="M16" s="221">
        <f t="shared" si="1"/>
        <v>2.5271670457417236E-3</v>
      </c>
      <c r="N16" s="193">
        <f t="shared" si="2"/>
        <v>0</v>
      </c>
    </row>
    <row r="17" spans="1:14" s="436" customFormat="1" ht="17.25" customHeight="1">
      <c r="A17" s="435"/>
      <c r="B17" s="231"/>
      <c r="C17" s="108"/>
      <c r="D17" s="221"/>
      <c r="E17" s="223"/>
      <c r="F17" s="221"/>
      <c r="G17" s="224"/>
      <c r="H17" s="233"/>
      <c r="I17" s="231" t="s">
        <v>222</v>
      </c>
      <c r="J17" s="719">
        <v>7</v>
      </c>
      <c r="K17" s="221">
        <f t="shared" si="0"/>
        <v>2.0618556701030928E-3</v>
      </c>
      <c r="L17" s="720">
        <v>0</v>
      </c>
      <c r="M17" s="221">
        <f t="shared" si="1"/>
        <v>0</v>
      </c>
      <c r="N17" s="193">
        <f t="shared" si="2"/>
        <v>7</v>
      </c>
    </row>
    <row r="18" spans="1:14" s="436" customFormat="1" ht="17.25" customHeight="1">
      <c r="A18" s="435"/>
      <c r="B18" s="231" t="s">
        <v>223</v>
      </c>
      <c r="C18" s="719">
        <v>9</v>
      </c>
      <c r="D18" s="221">
        <f t="shared" ref="D18:D31" si="6">C18/$C$4</f>
        <v>2.650957290132548E-3</v>
      </c>
      <c r="E18" s="720">
        <v>7</v>
      </c>
      <c r="F18" s="221">
        <f t="shared" ref="F18:F31" si="7">E18/$E$4</f>
        <v>1.7690169320192064E-3</v>
      </c>
      <c r="G18" s="224">
        <f t="shared" ref="G18:G31" si="8">C18-E18</f>
        <v>2</v>
      </c>
      <c r="H18" s="233"/>
      <c r="I18" s="231" t="s">
        <v>224</v>
      </c>
      <c r="J18" s="719">
        <v>10</v>
      </c>
      <c r="K18" s="221">
        <f t="shared" si="0"/>
        <v>2.9455081001472753E-3</v>
      </c>
      <c r="L18" s="720">
        <v>8</v>
      </c>
      <c r="M18" s="221">
        <f t="shared" si="1"/>
        <v>2.0217336365933787E-3</v>
      </c>
      <c r="N18" s="193">
        <f t="shared" si="2"/>
        <v>2</v>
      </c>
    </row>
    <row r="19" spans="1:14" s="436" customFormat="1" ht="17.25" customHeight="1">
      <c r="A19" s="435"/>
      <c r="B19" s="231" t="s">
        <v>225</v>
      </c>
      <c r="C19" s="719">
        <v>4</v>
      </c>
      <c r="D19" s="221">
        <f t="shared" si="6"/>
        <v>1.1782032400589101E-3</v>
      </c>
      <c r="E19" s="720">
        <v>8</v>
      </c>
      <c r="F19" s="221">
        <f t="shared" si="7"/>
        <v>2.0217336365933787E-3</v>
      </c>
      <c r="G19" s="224">
        <f t="shared" si="8"/>
        <v>-4</v>
      </c>
      <c r="H19" s="233"/>
      <c r="I19" s="231" t="s">
        <v>226</v>
      </c>
      <c r="J19" s="719">
        <v>6</v>
      </c>
      <c r="K19" s="221">
        <f t="shared" si="0"/>
        <v>1.7673048600883653E-3</v>
      </c>
      <c r="L19" s="720">
        <v>6</v>
      </c>
      <c r="M19" s="221">
        <f t="shared" si="1"/>
        <v>1.5163002274450341E-3</v>
      </c>
      <c r="N19" s="193">
        <f t="shared" si="2"/>
        <v>0</v>
      </c>
    </row>
    <row r="20" spans="1:14" s="436" customFormat="1" ht="17.25" customHeight="1">
      <c r="A20" s="435"/>
      <c r="B20" s="231" t="s">
        <v>227</v>
      </c>
      <c r="C20" s="719">
        <v>2</v>
      </c>
      <c r="D20" s="221">
        <f t="shared" si="6"/>
        <v>5.8910162002945505E-4</v>
      </c>
      <c r="E20" s="720">
        <v>6</v>
      </c>
      <c r="F20" s="221">
        <f t="shared" si="7"/>
        <v>1.5163002274450341E-3</v>
      </c>
      <c r="G20" s="224">
        <f t="shared" si="8"/>
        <v>-4</v>
      </c>
      <c r="H20" s="825" t="s">
        <v>228</v>
      </c>
      <c r="I20" s="826"/>
      <c r="J20" s="108">
        <f>SUM(C18:C31,J4:J19)</f>
        <v>715</v>
      </c>
      <c r="K20" s="221">
        <f>SUM(D18:D31,K4:K19)</f>
        <v>0.21060382916053016</v>
      </c>
      <c r="L20" s="223">
        <f>SUM(E18:E31,L4:L19)</f>
        <v>897</v>
      </c>
      <c r="M20" s="221">
        <f>SUM(F18:F31,M4:M19)</f>
        <v>0.22668688400303255</v>
      </c>
      <c r="N20" s="714">
        <f>SUM(G18:G31,N4:N19)</f>
        <v>-182</v>
      </c>
    </row>
    <row r="21" spans="1:14" s="436" customFormat="1" ht="17.25" customHeight="1">
      <c r="A21" s="435"/>
      <c r="B21" s="231" t="s">
        <v>229</v>
      </c>
      <c r="C21" s="719">
        <v>9</v>
      </c>
      <c r="D21" s="221">
        <f t="shared" si="6"/>
        <v>2.650957290132548E-3</v>
      </c>
      <c r="E21" s="720">
        <v>10</v>
      </c>
      <c r="F21" s="221">
        <f t="shared" si="7"/>
        <v>2.5271670457417236E-3</v>
      </c>
      <c r="G21" s="224">
        <f t="shared" si="8"/>
        <v>-1</v>
      </c>
      <c r="H21" s="109"/>
      <c r="I21" s="107"/>
      <c r="J21" s="108"/>
      <c r="K21" s="221"/>
      <c r="L21" s="223"/>
      <c r="M21" s="221"/>
      <c r="N21" s="229"/>
    </row>
    <row r="22" spans="1:14" s="436" customFormat="1" ht="17.25" customHeight="1">
      <c r="A22" s="435"/>
      <c r="B22" s="231" t="s">
        <v>230</v>
      </c>
      <c r="C22" s="719">
        <v>12</v>
      </c>
      <c r="D22" s="221">
        <f t="shared" si="6"/>
        <v>3.5346097201767305E-3</v>
      </c>
      <c r="E22" s="720">
        <v>16</v>
      </c>
      <c r="F22" s="221">
        <f t="shared" si="7"/>
        <v>4.0434672731867573E-3</v>
      </c>
      <c r="G22" s="224">
        <f t="shared" si="8"/>
        <v>-4</v>
      </c>
      <c r="H22" s="109"/>
      <c r="I22" s="107"/>
      <c r="J22" s="108"/>
      <c r="K22" s="221"/>
      <c r="L22" s="223"/>
      <c r="M22" s="221"/>
      <c r="N22" s="229"/>
    </row>
    <row r="23" spans="1:14" s="436" customFormat="1" ht="17.25" customHeight="1">
      <c r="A23" s="435"/>
      <c r="B23" s="231" t="s">
        <v>231</v>
      </c>
      <c r="C23" s="719">
        <v>16</v>
      </c>
      <c r="D23" s="221">
        <f t="shared" si="6"/>
        <v>4.7128129602356404E-3</v>
      </c>
      <c r="E23" s="720">
        <v>17</v>
      </c>
      <c r="F23" s="221">
        <f t="shared" si="7"/>
        <v>4.2961839777609298E-3</v>
      </c>
      <c r="G23" s="224">
        <f t="shared" si="8"/>
        <v>-1</v>
      </c>
      <c r="H23" s="109"/>
      <c r="I23" s="107"/>
      <c r="J23" s="108"/>
      <c r="K23" s="221"/>
      <c r="L23" s="223"/>
      <c r="M23" s="221"/>
      <c r="N23" s="229"/>
    </row>
    <row r="24" spans="1:14" s="436" customFormat="1" ht="17.25" customHeight="1">
      <c r="A24" s="435"/>
      <c r="B24" s="231" t="s">
        <v>232</v>
      </c>
      <c r="C24" s="719">
        <v>4</v>
      </c>
      <c r="D24" s="221">
        <f t="shared" si="6"/>
        <v>1.1782032400589101E-3</v>
      </c>
      <c r="E24" s="720">
        <v>11</v>
      </c>
      <c r="F24" s="221">
        <f t="shared" si="7"/>
        <v>2.7798837503158957E-3</v>
      </c>
      <c r="G24" s="224">
        <f t="shared" si="8"/>
        <v>-7</v>
      </c>
      <c r="H24" s="109"/>
      <c r="I24" s="107"/>
      <c r="J24" s="108"/>
      <c r="K24" s="221"/>
      <c r="L24" s="223"/>
      <c r="M24" s="221"/>
      <c r="N24" s="229"/>
    </row>
    <row r="25" spans="1:14" s="436" customFormat="1" ht="17.25" customHeight="1">
      <c r="A25" s="435"/>
      <c r="B25" s="231" t="s">
        <v>233</v>
      </c>
      <c r="C25" s="719">
        <v>10</v>
      </c>
      <c r="D25" s="221">
        <f t="shared" si="6"/>
        <v>2.9455081001472753E-3</v>
      </c>
      <c r="E25" s="720">
        <v>19</v>
      </c>
      <c r="F25" s="221">
        <f t="shared" si="7"/>
        <v>4.8016173869092748E-3</v>
      </c>
      <c r="G25" s="224">
        <f t="shared" si="8"/>
        <v>-9</v>
      </c>
      <c r="H25" s="109"/>
      <c r="I25" s="107"/>
      <c r="J25" s="108"/>
      <c r="K25" s="221"/>
      <c r="L25" s="223"/>
      <c r="M25" s="221"/>
      <c r="N25" s="229"/>
    </row>
    <row r="26" spans="1:14" s="436" customFormat="1" ht="17.25" customHeight="1">
      <c r="A26" s="435"/>
      <c r="B26" s="231" t="s">
        <v>234</v>
      </c>
      <c r="C26" s="719">
        <v>16</v>
      </c>
      <c r="D26" s="221">
        <f t="shared" si="6"/>
        <v>4.7128129602356404E-3</v>
      </c>
      <c r="E26" s="720">
        <v>13</v>
      </c>
      <c r="F26" s="221">
        <f t="shared" si="7"/>
        <v>3.2853171594642407E-3</v>
      </c>
      <c r="G26" s="224">
        <f t="shared" si="8"/>
        <v>3</v>
      </c>
      <c r="H26" s="109"/>
      <c r="I26" s="107"/>
      <c r="J26" s="108"/>
      <c r="K26" s="221"/>
      <c r="L26" s="223"/>
      <c r="M26" s="221"/>
      <c r="N26" s="229"/>
    </row>
    <row r="27" spans="1:14" s="436" customFormat="1" ht="17.25" customHeight="1">
      <c r="A27" s="435"/>
      <c r="B27" s="231" t="s">
        <v>235</v>
      </c>
      <c r="C27" s="719">
        <v>59</v>
      </c>
      <c r="D27" s="221">
        <f t="shared" si="6"/>
        <v>1.7378497790868926E-2</v>
      </c>
      <c r="E27" s="720">
        <v>50</v>
      </c>
      <c r="F27" s="221">
        <f t="shared" si="7"/>
        <v>1.2635835228708618E-2</v>
      </c>
      <c r="G27" s="224">
        <f t="shared" si="8"/>
        <v>9</v>
      </c>
      <c r="H27" s="110"/>
      <c r="I27" s="107"/>
      <c r="J27" s="108"/>
      <c r="K27" s="221"/>
      <c r="L27" s="223"/>
      <c r="M27" s="221"/>
      <c r="N27" s="229"/>
    </row>
    <row r="28" spans="1:14" s="436" customFormat="1" ht="17.25" customHeight="1">
      <c r="A28" s="435"/>
      <c r="B28" s="231" t="s">
        <v>236</v>
      </c>
      <c r="C28" s="719">
        <v>19</v>
      </c>
      <c r="D28" s="221">
        <f t="shared" si="6"/>
        <v>5.5964653902798233E-3</v>
      </c>
      <c r="E28" s="720">
        <v>16</v>
      </c>
      <c r="F28" s="221">
        <f t="shared" si="7"/>
        <v>4.0434672731867573E-3</v>
      </c>
      <c r="G28" s="224">
        <f t="shared" si="8"/>
        <v>3</v>
      </c>
      <c r="H28" s="109"/>
      <c r="I28" s="107"/>
      <c r="J28" s="108"/>
      <c r="K28" s="221"/>
      <c r="L28" s="223"/>
      <c r="M28" s="221"/>
      <c r="N28" s="229"/>
    </row>
    <row r="29" spans="1:14" s="436" customFormat="1" ht="17.25" customHeight="1">
      <c r="A29" s="435"/>
      <c r="B29" s="231" t="s">
        <v>237</v>
      </c>
      <c r="C29" s="719">
        <v>62</v>
      </c>
      <c r="D29" s="221">
        <f t="shared" si="6"/>
        <v>1.8262150220913109E-2</v>
      </c>
      <c r="E29" s="720">
        <v>46</v>
      </c>
      <c r="F29" s="221">
        <f t="shared" si="7"/>
        <v>1.1624968410411928E-2</v>
      </c>
      <c r="G29" s="224">
        <f t="shared" si="8"/>
        <v>16</v>
      </c>
      <c r="H29" s="109"/>
      <c r="I29" s="100"/>
      <c r="J29" s="108"/>
      <c r="K29" s="221"/>
      <c r="L29" s="223"/>
      <c r="M29" s="221"/>
      <c r="N29" s="229"/>
    </row>
    <row r="30" spans="1:14" s="436" customFormat="1" ht="17.25" customHeight="1">
      <c r="A30" s="435"/>
      <c r="B30" s="231" t="s">
        <v>238</v>
      </c>
      <c r="C30" s="719">
        <v>30</v>
      </c>
      <c r="D30" s="221">
        <f t="shared" si="6"/>
        <v>8.836524300441826E-3</v>
      </c>
      <c r="E30" s="720">
        <v>42</v>
      </c>
      <c r="F30" s="221">
        <f t="shared" si="7"/>
        <v>1.061410159211524E-2</v>
      </c>
      <c r="G30" s="224">
        <f t="shared" si="8"/>
        <v>-12</v>
      </c>
      <c r="H30" s="109"/>
      <c r="I30" s="107"/>
      <c r="J30" s="108"/>
      <c r="K30" s="221"/>
      <c r="L30" s="223"/>
      <c r="M30" s="221"/>
      <c r="N30" s="229"/>
    </row>
    <row r="31" spans="1:14" s="438" customFormat="1" ht="17.25" customHeight="1" thickBot="1">
      <c r="A31" s="437"/>
      <c r="B31" s="232" t="s">
        <v>239</v>
      </c>
      <c r="C31" s="726">
        <v>77</v>
      </c>
      <c r="D31" s="222">
        <f t="shared" si="6"/>
        <v>2.268041237113402E-2</v>
      </c>
      <c r="E31" s="727">
        <v>101</v>
      </c>
      <c r="F31" s="222">
        <f t="shared" si="7"/>
        <v>2.5524387161991409E-2</v>
      </c>
      <c r="G31" s="225">
        <f t="shared" si="8"/>
        <v>-24</v>
      </c>
      <c r="H31" s="118"/>
      <c r="I31" s="119"/>
      <c r="J31" s="120"/>
      <c r="K31" s="226"/>
      <c r="L31" s="227"/>
      <c r="M31" s="226"/>
      <c r="N31" s="230"/>
    </row>
    <row r="32" spans="1:14" ht="13.5" customHeight="1">
      <c r="B32" s="13"/>
      <c r="C32" s="13"/>
      <c r="D32" s="431"/>
      <c r="E32" s="13"/>
      <c r="F32" s="431"/>
      <c r="G32" s="13"/>
      <c r="H32" s="13"/>
      <c r="I32" s="13"/>
      <c r="J32" s="13"/>
      <c r="K32" s="431"/>
      <c r="N32" s="14" t="s">
        <v>172</v>
      </c>
    </row>
    <row r="33" spans="1:16" ht="11.25" customHeight="1">
      <c r="B33" s="13"/>
      <c r="C33" s="13"/>
      <c r="D33" s="431"/>
      <c r="E33" s="13"/>
      <c r="F33" s="431"/>
      <c r="G33" s="13"/>
      <c r="H33" s="13"/>
      <c r="I33" s="13"/>
      <c r="J33" s="13"/>
      <c r="K33" s="431"/>
      <c r="L33" s="13"/>
      <c r="M33" s="431"/>
      <c r="N33" s="13"/>
    </row>
    <row r="34" spans="1:16" s="440" customFormat="1" ht="15.75" customHeight="1" thickBot="1">
      <c r="A34" s="721"/>
      <c r="B34" s="13" t="s">
        <v>710</v>
      </c>
      <c r="C34" s="721"/>
      <c r="D34" s="722"/>
      <c r="E34" s="721"/>
      <c r="F34" s="722"/>
      <c r="G34" s="721"/>
      <c r="H34" s="721"/>
      <c r="I34" s="721"/>
      <c r="J34" s="721"/>
      <c r="K34" s="722"/>
      <c r="L34" s="721"/>
      <c r="M34" s="722"/>
      <c r="N34" s="14" t="s">
        <v>194</v>
      </c>
    </row>
    <row r="35" spans="1:16" s="442" customFormat="1" ht="15.75" customHeight="1">
      <c r="A35" s="795" t="s">
        <v>542</v>
      </c>
      <c r="B35" s="785"/>
      <c r="C35" s="785"/>
      <c r="D35" s="785"/>
      <c r="E35" s="785"/>
      <c r="F35" s="785"/>
      <c r="G35" s="785"/>
      <c r="H35" s="768" t="s">
        <v>543</v>
      </c>
      <c r="I35" s="768"/>
      <c r="J35" s="768"/>
      <c r="K35" s="768"/>
      <c r="L35" s="768"/>
      <c r="M35" s="768"/>
      <c r="N35" s="831"/>
      <c r="P35" s="111"/>
    </row>
    <row r="36" spans="1:16" s="443" customFormat="1" ht="15.75" customHeight="1">
      <c r="A36" s="723"/>
      <c r="B36" s="113" t="s">
        <v>544</v>
      </c>
      <c r="C36" s="769" t="s">
        <v>545</v>
      </c>
      <c r="D36" s="769"/>
      <c r="E36" s="769" t="s">
        <v>546</v>
      </c>
      <c r="F36" s="769"/>
      <c r="G36" s="639" t="s">
        <v>196</v>
      </c>
      <c r="H36" s="639"/>
      <c r="I36" s="113" t="s">
        <v>547</v>
      </c>
      <c r="J36" s="769" t="s">
        <v>548</v>
      </c>
      <c r="K36" s="769"/>
      <c r="L36" s="769" t="s">
        <v>549</v>
      </c>
      <c r="M36" s="769"/>
      <c r="N36" s="234" t="s">
        <v>196</v>
      </c>
    </row>
    <row r="37" spans="1:16" s="444" customFormat="1" ht="16.5" customHeight="1">
      <c r="A37" s="836" t="s">
        <v>30</v>
      </c>
      <c r="B37" s="833"/>
      <c r="C37" s="835" t="s">
        <v>694</v>
      </c>
      <c r="D37" s="835"/>
      <c r="E37" s="834">
        <v>287</v>
      </c>
      <c r="F37" s="834"/>
      <c r="G37" s="105">
        <f t="shared" ref="G37:G48" si="9">E37/$E$49*100</f>
        <v>12.053758924821503</v>
      </c>
      <c r="H37" s="832" t="s">
        <v>30</v>
      </c>
      <c r="I37" s="833"/>
      <c r="J37" s="835" t="s">
        <v>694</v>
      </c>
      <c r="K37" s="835"/>
      <c r="L37" s="834">
        <v>397</v>
      </c>
      <c r="M37" s="834"/>
      <c r="N37" s="235">
        <f>L37/$L$49*100</f>
        <v>18.770685579196218</v>
      </c>
    </row>
    <row r="38" spans="1:16" s="444" customFormat="1" ht="16.5" customHeight="1">
      <c r="A38" s="814" t="s">
        <v>31</v>
      </c>
      <c r="B38" s="815"/>
      <c r="C38" s="821" t="s">
        <v>695</v>
      </c>
      <c r="D38" s="821"/>
      <c r="E38" s="819">
        <v>186</v>
      </c>
      <c r="F38" s="819"/>
      <c r="G38" s="105">
        <f t="shared" si="9"/>
        <v>7.8118437631247373</v>
      </c>
      <c r="H38" s="820" t="s">
        <v>31</v>
      </c>
      <c r="I38" s="815"/>
      <c r="J38" s="821" t="s">
        <v>698</v>
      </c>
      <c r="K38" s="821"/>
      <c r="L38" s="819">
        <v>233</v>
      </c>
      <c r="M38" s="819"/>
      <c r="N38" s="236">
        <f t="shared" ref="N38:N48" si="10">L38/$L$49*100</f>
        <v>11.016548463356974</v>
      </c>
    </row>
    <row r="39" spans="1:16" s="444" customFormat="1" ht="16.5" customHeight="1">
      <c r="A39" s="814" t="s">
        <v>32</v>
      </c>
      <c r="B39" s="815"/>
      <c r="C39" s="821" t="s">
        <v>696</v>
      </c>
      <c r="D39" s="821"/>
      <c r="E39" s="819">
        <v>180</v>
      </c>
      <c r="F39" s="819"/>
      <c r="G39" s="105">
        <f t="shared" si="9"/>
        <v>7.5598488030239404</v>
      </c>
      <c r="H39" s="820" t="s">
        <v>32</v>
      </c>
      <c r="I39" s="815"/>
      <c r="J39" s="821" t="s">
        <v>697</v>
      </c>
      <c r="K39" s="821"/>
      <c r="L39" s="819">
        <v>179</v>
      </c>
      <c r="M39" s="819"/>
      <c r="N39" s="236">
        <f t="shared" si="10"/>
        <v>8.4633569739952712</v>
      </c>
    </row>
    <row r="40" spans="1:16" s="444" customFormat="1" ht="16.5" customHeight="1">
      <c r="A40" s="814" t="s">
        <v>33</v>
      </c>
      <c r="B40" s="815"/>
      <c r="C40" s="821" t="s">
        <v>697</v>
      </c>
      <c r="D40" s="821"/>
      <c r="E40" s="819">
        <v>170</v>
      </c>
      <c r="F40" s="819"/>
      <c r="G40" s="105">
        <f t="shared" si="9"/>
        <v>7.1398572028559428</v>
      </c>
      <c r="H40" s="820" t="s">
        <v>33</v>
      </c>
      <c r="I40" s="815"/>
      <c r="J40" s="821" t="s">
        <v>696</v>
      </c>
      <c r="K40" s="821"/>
      <c r="L40" s="819">
        <v>155</v>
      </c>
      <c r="M40" s="819"/>
      <c r="N40" s="236">
        <f t="shared" si="10"/>
        <v>7.328605200945626</v>
      </c>
    </row>
    <row r="41" spans="1:16" s="444" customFormat="1" ht="16.5" customHeight="1">
      <c r="A41" s="814" t="s">
        <v>38</v>
      </c>
      <c r="B41" s="815"/>
      <c r="C41" s="821" t="s">
        <v>698</v>
      </c>
      <c r="D41" s="821"/>
      <c r="E41" s="819">
        <v>107</v>
      </c>
      <c r="F41" s="819"/>
      <c r="G41" s="105">
        <f t="shared" si="9"/>
        <v>4.4939101217975637</v>
      </c>
      <c r="H41" s="820" t="s">
        <v>38</v>
      </c>
      <c r="I41" s="815"/>
      <c r="J41" s="821" t="s">
        <v>695</v>
      </c>
      <c r="K41" s="821"/>
      <c r="L41" s="819">
        <v>139</v>
      </c>
      <c r="M41" s="819"/>
      <c r="N41" s="236">
        <f t="shared" si="10"/>
        <v>6.5721040189125297</v>
      </c>
    </row>
    <row r="42" spans="1:16" s="444" customFormat="1" ht="16.5" customHeight="1">
      <c r="A42" s="814" t="s">
        <v>550</v>
      </c>
      <c r="B42" s="815"/>
      <c r="C42" s="821" t="s">
        <v>699</v>
      </c>
      <c r="D42" s="821"/>
      <c r="E42" s="819">
        <v>97</v>
      </c>
      <c r="F42" s="819"/>
      <c r="G42" s="105">
        <f t="shared" si="9"/>
        <v>4.073918521629567</v>
      </c>
      <c r="H42" s="820" t="s">
        <v>39</v>
      </c>
      <c r="I42" s="815"/>
      <c r="J42" s="821" t="s">
        <v>699</v>
      </c>
      <c r="K42" s="821"/>
      <c r="L42" s="819">
        <v>108</v>
      </c>
      <c r="M42" s="819"/>
      <c r="N42" s="236">
        <f t="shared" si="10"/>
        <v>5.1063829787234036</v>
      </c>
    </row>
    <row r="43" spans="1:16" s="444" customFormat="1" ht="16.5" customHeight="1">
      <c r="A43" s="814" t="s">
        <v>40</v>
      </c>
      <c r="B43" s="815"/>
      <c r="C43" s="821" t="s">
        <v>700</v>
      </c>
      <c r="D43" s="821"/>
      <c r="E43" s="819">
        <v>76</v>
      </c>
      <c r="F43" s="819"/>
      <c r="G43" s="105">
        <f t="shared" si="9"/>
        <v>3.1919361612767747</v>
      </c>
      <c r="H43" s="820" t="s">
        <v>40</v>
      </c>
      <c r="I43" s="815"/>
      <c r="J43" s="821" t="s">
        <v>700</v>
      </c>
      <c r="K43" s="821"/>
      <c r="L43" s="819">
        <v>104</v>
      </c>
      <c r="M43" s="819"/>
      <c r="N43" s="236">
        <f t="shared" si="10"/>
        <v>4.91725768321513</v>
      </c>
    </row>
    <row r="44" spans="1:16" s="444" customFormat="1" ht="16.5" customHeight="1">
      <c r="A44" s="814" t="s">
        <v>41</v>
      </c>
      <c r="B44" s="815"/>
      <c r="C44" s="821" t="s">
        <v>701</v>
      </c>
      <c r="D44" s="821"/>
      <c r="E44" s="819">
        <v>67</v>
      </c>
      <c r="F44" s="819"/>
      <c r="G44" s="105">
        <f t="shared" si="9"/>
        <v>2.8139437211255776</v>
      </c>
      <c r="H44" s="820" t="s">
        <v>41</v>
      </c>
      <c r="I44" s="815"/>
      <c r="J44" s="821" t="s">
        <v>701</v>
      </c>
      <c r="K44" s="821"/>
      <c r="L44" s="819">
        <v>48</v>
      </c>
      <c r="M44" s="819"/>
      <c r="N44" s="236">
        <f t="shared" si="10"/>
        <v>2.2695035460992909</v>
      </c>
    </row>
    <row r="45" spans="1:16" s="444" customFormat="1" ht="16.5" customHeight="1">
      <c r="A45" s="814" t="s">
        <v>42</v>
      </c>
      <c r="B45" s="815"/>
      <c r="C45" s="821" t="s">
        <v>702</v>
      </c>
      <c r="D45" s="821"/>
      <c r="E45" s="819">
        <v>46</v>
      </c>
      <c r="F45" s="819"/>
      <c r="G45" s="105">
        <f t="shared" si="9"/>
        <v>1.9319613607727846</v>
      </c>
      <c r="H45" s="820" t="s">
        <v>42</v>
      </c>
      <c r="I45" s="815"/>
      <c r="J45" s="821" t="s">
        <v>702</v>
      </c>
      <c r="K45" s="821"/>
      <c r="L45" s="819">
        <v>47</v>
      </c>
      <c r="M45" s="819"/>
      <c r="N45" s="236">
        <f t="shared" si="10"/>
        <v>2.2222222222222223</v>
      </c>
    </row>
    <row r="46" spans="1:16" s="444" customFormat="1" ht="16.5" customHeight="1">
      <c r="A46" s="814">
        <v>10</v>
      </c>
      <c r="B46" s="815"/>
      <c r="C46" s="821" t="s">
        <v>703</v>
      </c>
      <c r="D46" s="821"/>
      <c r="E46" s="819">
        <v>37</v>
      </c>
      <c r="F46" s="819"/>
      <c r="G46" s="105">
        <f t="shared" si="9"/>
        <v>1.5539689206215874</v>
      </c>
      <c r="H46" s="820">
        <v>10</v>
      </c>
      <c r="I46" s="815"/>
      <c r="J46" s="821" t="s">
        <v>703</v>
      </c>
      <c r="K46" s="821"/>
      <c r="L46" s="819">
        <v>46</v>
      </c>
      <c r="M46" s="819"/>
      <c r="N46" s="236">
        <f t="shared" si="10"/>
        <v>2.1749408983451537</v>
      </c>
    </row>
    <row r="47" spans="1:16" s="444" customFormat="1" ht="16.5" customHeight="1">
      <c r="A47" s="724"/>
      <c r="B47" s="101"/>
      <c r="C47" s="816" t="s">
        <v>670</v>
      </c>
      <c r="D47" s="816"/>
      <c r="E47" s="819">
        <v>401</v>
      </c>
      <c r="F47" s="819"/>
      <c r="G47" s="105">
        <f t="shared" si="9"/>
        <v>16.841663166736666</v>
      </c>
      <c r="H47" s="102"/>
      <c r="I47" s="101"/>
      <c r="J47" s="816" t="s">
        <v>670</v>
      </c>
      <c r="K47" s="816"/>
      <c r="L47" s="819">
        <v>483</v>
      </c>
      <c r="M47" s="819"/>
      <c r="N47" s="236">
        <f t="shared" si="10"/>
        <v>22.836879432624112</v>
      </c>
    </row>
    <row r="48" spans="1:16" s="444" customFormat="1" ht="16.5" customHeight="1">
      <c r="A48" s="725"/>
      <c r="B48" s="103"/>
      <c r="C48" s="821" t="s">
        <v>241</v>
      </c>
      <c r="D48" s="821"/>
      <c r="E48" s="818">
        <v>727</v>
      </c>
      <c r="F48" s="818"/>
      <c r="G48" s="106">
        <f t="shared" si="9"/>
        <v>30.533389332213357</v>
      </c>
      <c r="H48" s="104"/>
      <c r="I48" s="103"/>
      <c r="J48" s="821" t="s">
        <v>241</v>
      </c>
      <c r="K48" s="821"/>
      <c r="L48" s="818">
        <v>176</v>
      </c>
      <c r="M48" s="818"/>
      <c r="N48" s="237">
        <f t="shared" si="10"/>
        <v>8.3215130023640658</v>
      </c>
    </row>
    <row r="49" spans="1:14" s="442" customFormat="1" ht="16.5" customHeight="1" thickBot="1">
      <c r="A49" s="822" t="s">
        <v>551</v>
      </c>
      <c r="B49" s="823"/>
      <c r="C49" s="823"/>
      <c r="D49" s="823"/>
      <c r="E49" s="817">
        <f>SUM(E37:F48)</f>
        <v>2381</v>
      </c>
      <c r="F49" s="817"/>
      <c r="G49" s="728">
        <f>SUM(G37:G48)</f>
        <v>99.999999999999986</v>
      </c>
      <c r="H49" s="823" t="s">
        <v>552</v>
      </c>
      <c r="I49" s="823"/>
      <c r="J49" s="823"/>
      <c r="K49" s="823"/>
      <c r="L49" s="817">
        <f>SUM(L37:M48)</f>
        <v>2115</v>
      </c>
      <c r="M49" s="817"/>
      <c r="N49" s="729">
        <f>SUM(N37:N48)</f>
        <v>100.00000000000001</v>
      </c>
    </row>
    <row r="50" spans="1:14" s="440" customFormat="1" ht="13.5" customHeight="1">
      <c r="A50" s="445"/>
      <c r="B50" s="13" t="s">
        <v>242</v>
      </c>
      <c r="C50" s="440" t="s">
        <v>243</v>
      </c>
      <c r="D50" s="441"/>
      <c r="F50" s="441"/>
      <c r="K50" s="441"/>
      <c r="L50" s="13"/>
      <c r="M50" s="441"/>
      <c r="N50" s="14" t="s">
        <v>172</v>
      </c>
    </row>
  </sheetData>
  <sheetProtection sheet="1" objects="1" scenarios="1"/>
  <mergeCells count="84">
    <mergeCell ref="C40:D40"/>
    <mergeCell ref="E40:F40"/>
    <mergeCell ref="A44:B44"/>
    <mergeCell ref="A43:B43"/>
    <mergeCell ref="A35:G35"/>
    <mergeCell ref="A39:B39"/>
    <mergeCell ref="A42:B42"/>
    <mergeCell ref="A41:B41"/>
    <mergeCell ref="A40:B40"/>
    <mergeCell ref="E38:F38"/>
    <mergeCell ref="C41:D41"/>
    <mergeCell ref="E41:F41"/>
    <mergeCell ref="A37:B37"/>
    <mergeCell ref="E39:F39"/>
    <mergeCell ref="A38:B38"/>
    <mergeCell ref="C37:D37"/>
    <mergeCell ref="E36:F36"/>
    <mergeCell ref="J36:K36"/>
    <mergeCell ref="L37:M37"/>
    <mergeCell ref="E37:F37"/>
    <mergeCell ref="C39:D39"/>
    <mergeCell ref="L39:M39"/>
    <mergeCell ref="J39:K39"/>
    <mergeCell ref="L38:M38"/>
    <mergeCell ref="J37:K37"/>
    <mergeCell ref="H39:I39"/>
    <mergeCell ref="C42:D42"/>
    <mergeCell ref="L42:M42"/>
    <mergeCell ref="E42:F42"/>
    <mergeCell ref="A2:I2"/>
    <mergeCell ref="A3:B3"/>
    <mergeCell ref="H3:I3"/>
    <mergeCell ref="H20:I20"/>
    <mergeCell ref="A4:B4"/>
    <mergeCell ref="A16:B16"/>
    <mergeCell ref="H35:N35"/>
    <mergeCell ref="C36:D36"/>
    <mergeCell ref="H37:I37"/>
    <mergeCell ref="C38:D38"/>
    <mergeCell ref="J38:K38"/>
    <mergeCell ref="L36:M36"/>
    <mergeCell ref="H38:I38"/>
    <mergeCell ref="H44:I44"/>
    <mergeCell ref="H43:I43"/>
    <mergeCell ref="J42:K42"/>
    <mergeCell ref="L43:M43"/>
    <mergeCell ref="J44:K44"/>
    <mergeCell ref="L44:M44"/>
    <mergeCell ref="J43:K43"/>
    <mergeCell ref="H42:I42"/>
    <mergeCell ref="J40:K40"/>
    <mergeCell ref="L40:M40"/>
    <mergeCell ref="H41:I41"/>
    <mergeCell ref="H40:I40"/>
    <mergeCell ref="J41:K41"/>
    <mergeCell ref="L41:M41"/>
    <mergeCell ref="C45:D45"/>
    <mergeCell ref="E43:F43"/>
    <mergeCell ref="C43:D43"/>
    <mergeCell ref="E45:F45"/>
    <mergeCell ref="C44:D44"/>
    <mergeCell ref="E44:F44"/>
    <mergeCell ref="H45:I45"/>
    <mergeCell ref="L46:M46"/>
    <mergeCell ref="L47:M47"/>
    <mergeCell ref="J46:K46"/>
    <mergeCell ref="L45:M45"/>
    <mergeCell ref="J45:K45"/>
    <mergeCell ref="A45:B45"/>
    <mergeCell ref="C47:D47"/>
    <mergeCell ref="L49:M49"/>
    <mergeCell ref="L48:M48"/>
    <mergeCell ref="E47:F47"/>
    <mergeCell ref="H46:I46"/>
    <mergeCell ref="C46:D46"/>
    <mergeCell ref="E46:F46"/>
    <mergeCell ref="A49:D49"/>
    <mergeCell ref="E48:F48"/>
    <mergeCell ref="E49:F49"/>
    <mergeCell ref="H49:K49"/>
    <mergeCell ref="C48:D48"/>
    <mergeCell ref="J47:K47"/>
    <mergeCell ref="J48:K48"/>
    <mergeCell ref="A46:B46"/>
  </mergeCells>
  <phoneticPr fontId="17"/>
  <printOptions horizontalCentered="1"/>
  <pageMargins left="0.59055118110236227" right="0.59055118110236227" top="0.59055118110236227" bottom="0.59055118110236227" header="0.39370078740157483" footer="0.39370078740157483"/>
  <pageSetup paperSize="9" firstPageNumber="0" orientation="portrait" verticalDpi="300" r:id="rId1"/>
  <headerFooter scaleWithDoc="0" alignWithMargins="0">
    <oddHeader>&amp;R&amp;"ＭＳ 明朝,標準"&amp;10人　口</oddHeader>
    <oddFooter>&amp;C&amp;"ＭＳ 明朝,標準"&amp;12&amp;A</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X53"/>
  <sheetViews>
    <sheetView view="pageBreakPreview" zoomScaleNormal="100" zoomScaleSheetLayoutView="100" workbookViewId="0">
      <selection activeCell="M1" sqref="M1:M1048576"/>
    </sheetView>
  </sheetViews>
  <sheetFormatPr defaultRowHeight="15" customHeight="1"/>
  <cols>
    <col min="1" max="1" width="1.25" style="35" customWidth="1"/>
    <col min="2" max="2" width="4.375" style="35" customWidth="1"/>
    <col min="3" max="3" width="9" style="35" customWidth="1"/>
    <col min="4" max="4" width="1.25" style="35" customWidth="1"/>
    <col min="5" max="11" width="9.5" style="35" customWidth="1"/>
    <col min="12" max="12" width="9.5" style="36" customWidth="1"/>
    <col min="13" max="13" width="0.875" style="35" hidden="1" customWidth="1"/>
    <col min="14" max="14" width="11.125" style="35" hidden="1" customWidth="1"/>
    <col min="15" max="15" width="9.5" style="35" hidden="1" customWidth="1"/>
    <col min="16" max="16" width="9.625" style="35" hidden="1" customWidth="1"/>
    <col min="17" max="17" width="9.5" style="35" hidden="1" customWidth="1"/>
    <col min="18" max="19" width="4.625" style="35" hidden="1" customWidth="1"/>
    <col min="20" max="22" width="9.875" style="35" hidden="1" customWidth="1"/>
    <col min="23" max="23" width="12.75" style="35" hidden="1" customWidth="1"/>
    <col min="24" max="24" width="15" style="35" customWidth="1"/>
    <col min="25" max="16384" width="9" style="35"/>
  </cols>
  <sheetData>
    <row r="1" spans="1:24" ht="4.5" customHeight="1">
      <c r="A1" s="37"/>
      <c r="B1" s="38"/>
      <c r="C1" s="39"/>
      <c r="D1" s="39"/>
      <c r="E1" s="39"/>
      <c r="F1" s="39"/>
      <c r="G1" s="39"/>
      <c r="H1" s="39"/>
      <c r="I1" s="39"/>
      <c r="J1" s="39"/>
      <c r="K1" s="39"/>
      <c r="L1" s="39"/>
    </row>
    <row r="2" spans="1:24" ht="15" customHeight="1">
      <c r="A2" s="37" t="s">
        <v>652</v>
      </c>
      <c r="B2" s="38"/>
      <c r="C2" s="39"/>
      <c r="D2" s="39"/>
      <c r="E2" s="39"/>
      <c r="F2" s="39"/>
      <c r="G2" s="39"/>
      <c r="H2" s="39"/>
      <c r="I2" s="39"/>
      <c r="J2" s="39"/>
      <c r="K2" s="39"/>
      <c r="L2" s="39"/>
    </row>
    <row r="3" spans="1:24" ht="5.0999999999999996" customHeight="1">
      <c r="A3" s="37"/>
      <c r="B3" s="38"/>
      <c r="C3" s="39"/>
      <c r="D3" s="39"/>
      <c r="E3" s="39"/>
      <c r="F3" s="39"/>
      <c r="G3" s="39"/>
      <c r="H3" s="39"/>
      <c r="I3" s="39"/>
      <c r="J3" s="39"/>
      <c r="K3" s="39"/>
      <c r="L3" s="39"/>
    </row>
    <row r="4" spans="1:24" s="40" customFormat="1" ht="86.25" customHeight="1">
      <c r="A4" s="881" t="s">
        <v>610</v>
      </c>
      <c r="B4" s="881"/>
      <c r="C4" s="881"/>
      <c r="D4" s="881"/>
      <c r="E4" s="881"/>
      <c r="F4" s="881"/>
      <c r="G4" s="881"/>
      <c r="H4" s="881"/>
      <c r="I4" s="881"/>
      <c r="J4" s="881"/>
      <c r="K4" s="881"/>
      <c r="L4" s="881"/>
      <c r="N4" s="881" t="s">
        <v>653</v>
      </c>
      <c r="O4" s="881"/>
      <c r="P4" s="881"/>
      <c r="Q4" s="881"/>
      <c r="R4" s="881"/>
      <c r="S4" s="881"/>
      <c r="T4" s="881"/>
      <c r="U4" s="881"/>
      <c r="V4" s="881"/>
      <c r="W4" s="881"/>
    </row>
    <row r="5" spans="1:24" ht="10.5" customHeight="1">
      <c r="A5" s="882"/>
      <c r="B5" s="882"/>
      <c r="C5" s="882"/>
      <c r="D5" s="882"/>
      <c r="E5" s="882"/>
      <c r="F5" s="882"/>
      <c r="G5" s="882"/>
      <c r="H5" s="882"/>
      <c r="I5" s="882"/>
      <c r="J5" s="882"/>
      <c r="K5" s="882"/>
      <c r="L5" s="882"/>
      <c r="M5" s="41"/>
      <c r="N5" s="883"/>
      <c r="O5" s="883"/>
      <c r="P5" s="883"/>
      <c r="Q5" s="883"/>
      <c r="R5" s="883"/>
      <c r="S5" s="883"/>
      <c r="T5" s="883"/>
      <c r="U5" s="883"/>
      <c r="V5" s="883"/>
      <c r="W5" s="883"/>
    </row>
    <row r="6" spans="1:24" ht="15" customHeight="1" thickBot="1">
      <c r="B6" s="5" t="s">
        <v>603</v>
      </c>
      <c r="C6" s="5"/>
      <c r="D6" s="5"/>
      <c r="E6" s="42"/>
      <c r="F6" s="42"/>
      <c r="G6" s="42"/>
      <c r="I6" s="42"/>
      <c r="K6" s="42"/>
      <c r="L6" s="43"/>
      <c r="N6" s="5" t="s">
        <v>604</v>
      </c>
    </row>
    <row r="7" spans="1:24" ht="15" customHeight="1">
      <c r="A7" s="858" t="s">
        <v>244</v>
      </c>
      <c r="B7" s="859"/>
      <c r="C7" s="859"/>
      <c r="D7" s="859"/>
      <c r="E7" s="859" t="s">
        <v>245</v>
      </c>
      <c r="F7" s="859"/>
      <c r="G7" s="859" t="s">
        <v>246</v>
      </c>
      <c r="H7" s="859"/>
      <c r="I7" s="859" t="s">
        <v>247</v>
      </c>
      <c r="J7" s="859"/>
      <c r="K7" s="859"/>
      <c r="L7" s="878"/>
      <c r="M7" s="36"/>
      <c r="N7" s="156" t="s">
        <v>248</v>
      </c>
      <c r="O7" s="887" t="s">
        <v>608</v>
      </c>
      <c r="P7" s="888"/>
      <c r="Q7" s="875" t="s">
        <v>249</v>
      </c>
      <c r="R7" s="868"/>
      <c r="S7" s="868"/>
      <c r="T7" s="879"/>
      <c r="U7" s="785" t="s">
        <v>250</v>
      </c>
      <c r="V7" s="886"/>
      <c r="W7" s="451"/>
    </row>
    <row r="8" spans="1:24" ht="15" customHeight="1">
      <c r="A8" s="860"/>
      <c r="B8" s="861"/>
      <c r="C8" s="861"/>
      <c r="D8" s="861"/>
      <c r="E8" s="861"/>
      <c r="F8" s="861"/>
      <c r="G8" s="861"/>
      <c r="H8" s="861"/>
      <c r="I8" s="885" t="s">
        <v>14</v>
      </c>
      <c r="J8" s="885"/>
      <c r="K8" s="467" t="s">
        <v>15</v>
      </c>
      <c r="L8" s="471" t="s">
        <v>16</v>
      </c>
      <c r="M8" s="453"/>
      <c r="N8" s="454" t="s">
        <v>583</v>
      </c>
      <c r="O8" s="450" t="s">
        <v>251</v>
      </c>
      <c r="P8" s="450" t="s">
        <v>252</v>
      </c>
      <c r="Q8" s="455" t="s">
        <v>605</v>
      </c>
      <c r="R8" s="786" t="s">
        <v>606</v>
      </c>
      <c r="S8" s="884"/>
      <c r="T8" s="450" t="s">
        <v>253</v>
      </c>
      <c r="U8" s="493" t="s">
        <v>20</v>
      </c>
      <c r="V8" s="234" t="s">
        <v>607</v>
      </c>
    </row>
    <row r="9" spans="1:24" ht="15" customHeight="1">
      <c r="A9" s="153"/>
      <c r="B9" s="844" t="s">
        <v>240</v>
      </c>
      <c r="C9" s="844"/>
      <c r="D9" s="91"/>
      <c r="E9" s="856">
        <v>2281.12</v>
      </c>
      <c r="F9" s="856"/>
      <c r="G9" s="880">
        <v>560424</v>
      </c>
      <c r="H9" s="880"/>
      <c r="I9" s="880">
        <v>1433566</v>
      </c>
      <c r="J9" s="880"/>
      <c r="K9" s="465">
        <v>704619</v>
      </c>
      <c r="L9" s="472">
        <v>728947</v>
      </c>
      <c r="M9" s="36"/>
      <c r="N9" s="157">
        <v>1392818</v>
      </c>
      <c r="O9" s="250">
        <f>I9-N9</f>
        <v>40748</v>
      </c>
      <c r="P9" s="251">
        <f>O9/N9*100</f>
        <v>2.9255796521871487</v>
      </c>
      <c r="Q9" s="45">
        <v>1000</v>
      </c>
      <c r="R9" s="873">
        <f>(I9/$I$9)*1000</f>
        <v>1000</v>
      </c>
      <c r="S9" s="873"/>
      <c r="T9" s="258">
        <v>0</v>
      </c>
      <c r="U9" s="514">
        <v>611.9</v>
      </c>
      <c r="V9" s="262">
        <v>628.4</v>
      </c>
      <c r="W9" s="891"/>
      <c r="X9" s="844"/>
    </row>
    <row r="10" spans="1:24" ht="15" customHeight="1">
      <c r="A10" s="153"/>
      <c r="B10" s="844" t="s">
        <v>200</v>
      </c>
      <c r="C10" s="844"/>
      <c r="D10" s="91"/>
      <c r="E10" s="856">
        <v>39.57</v>
      </c>
      <c r="F10" s="856"/>
      <c r="G10" s="854">
        <v>135532</v>
      </c>
      <c r="H10" s="854"/>
      <c r="I10" s="854">
        <v>319435</v>
      </c>
      <c r="J10" s="854"/>
      <c r="K10" s="465">
        <v>154685</v>
      </c>
      <c r="L10" s="472">
        <v>164750</v>
      </c>
      <c r="M10" s="36"/>
      <c r="N10" s="158">
        <v>315954</v>
      </c>
      <c r="O10" s="252">
        <f t="shared" ref="O10:O23" si="0">I10-N10</f>
        <v>3481</v>
      </c>
      <c r="P10" s="253">
        <f t="shared" ref="P10:P23" si="1">O10/N10*100</f>
        <v>1.1017426587414625</v>
      </c>
      <c r="Q10" s="46">
        <v>226.8</v>
      </c>
      <c r="R10" s="847">
        <f>(I10/$I$9)*1000</f>
        <v>222.82545763501645</v>
      </c>
      <c r="S10" s="847"/>
      <c r="T10" s="259">
        <f>R10-Q10</f>
        <v>-3.9745423649835629</v>
      </c>
      <c r="U10" s="515">
        <v>8051.8</v>
      </c>
      <c r="V10" s="263">
        <v>8072.7</v>
      </c>
      <c r="W10" s="891"/>
      <c r="X10" s="844"/>
    </row>
    <row r="11" spans="1:24" ht="15" customHeight="1">
      <c r="A11" s="153"/>
      <c r="B11" s="844" t="s">
        <v>202</v>
      </c>
      <c r="C11" s="844"/>
      <c r="D11" s="91"/>
      <c r="E11" s="856">
        <v>87.01</v>
      </c>
      <c r="F11" s="856"/>
      <c r="G11" s="854">
        <v>42378</v>
      </c>
      <c r="H11" s="854"/>
      <c r="I11" s="854">
        <v>118898</v>
      </c>
      <c r="J11" s="854"/>
      <c r="K11" s="465">
        <v>59409</v>
      </c>
      <c r="L11" s="472">
        <v>59489</v>
      </c>
      <c r="M11" s="36"/>
      <c r="N11" s="158">
        <v>116979</v>
      </c>
      <c r="O11" s="252">
        <f t="shared" si="0"/>
        <v>1919</v>
      </c>
      <c r="P11" s="253">
        <f t="shared" si="1"/>
        <v>1.6404653826755229</v>
      </c>
      <c r="Q11" s="46">
        <v>84</v>
      </c>
      <c r="R11" s="847">
        <f t="shared" ref="R11:R23" si="2">(I11/$I$9)*1000</f>
        <v>82.938629961927106</v>
      </c>
      <c r="S11" s="847"/>
      <c r="T11" s="259">
        <f>R11-Q11</f>
        <v>-1.0613700380728943</v>
      </c>
      <c r="U11" s="515">
        <v>1359</v>
      </c>
      <c r="V11" s="263">
        <v>1366.5</v>
      </c>
      <c r="W11" s="891"/>
      <c r="X11" s="844"/>
    </row>
    <row r="12" spans="1:24" ht="15" customHeight="1">
      <c r="A12" s="153"/>
      <c r="B12" s="844" t="s">
        <v>206</v>
      </c>
      <c r="C12" s="844"/>
      <c r="D12" s="91"/>
      <c r="E12" s="856">
        <v>19.8</v>
      </c>
      <c r="F12" s="856"/>
      <c r="G12" s="854">
        <v>39333</v>
      </c>
      <c r="H12" s="854"/>
      <c r="I12" s="854">
        <v>96243</v>
      </c>
      <c r="J12" s="854"/>
      <c r="K12" s="465">
        <v>47022</v>
      </c>
      <c r="L12" s="472">
        <v>49221</v>
      </c>
      <c r="M12" s="36"/>
      <c r="N12" s="158">
        <v>91928</v>
      </c>
      <c r="O12" s="252">
        <f>I12-N12</f>
        <v>4315</v>
      </c>
      <c r="P12" s="253">
        <f t="shared" si="1"/>
        <v>4.6938908711165261</v>
      </c>
      <c r="Q12" s="46">
        <v>66</v>
      </c>
      <c r="R12" s="847">
        <f t="shared" si="2"/>
        <v>67.135381279968968</v>
      </c>
      <c r="S12" s="847"/>
      <c r="T12" s="259">
        <f t="shared" ref="T12:T22" si="3">R12-Q12</f>
        <v>1.1353812799689678</v>
      </c>
      <c r="U12" s="515">
        <v>4666.3999999999996</v>
      </c>
      <c r="V12" s="263">
        <v>4860.8</v>
      </c>
      <c r="W12" s="891"/>
      <c r="X12" s="844"/>
    </row>
    <row r="13" spans="1:24" ht="15" customHeight="1">
      <c r="A13" s="153"/>
      <c r="B13" s="844" t="s">
        <v>204</v>
      </c>
      <c r="C13" s="844"/>
      <c r="D13" s="91"/>
      <c r="E13" s="856">
        <v>204.2</v>
      </c>
      <c r="F13" s="856"/>
      <c r="G13" s="854">
        <v>21977</v>
      </c>
      <c r="H13" s="854"/>
      <c r="I13" s="854">
        <v>51186</v>
      </c>
      <c r="J13" s="854"/>
      <c r="K13" s="465">
        <v>25131</v>
      </c>
      <c r="L13" s="472">
        <v>26055</v>
      </c>
      <c r="M13" s="36"/>
      <c r="N13" s="158">
        <v>52039</v>
      </c>
      <c r="O13" s="254">
        <f t="shared" si="0"/>
        <v>-853</v>
      </c>
      <c r="P13" s="255">
        <f t="shared" si="1"/>
        <v>-1.6391552489479044</v>
      </c>
      <c r="Q13" s="46">
        <v>37.4</v>
      </c>
      <c r="R13" s="847">
        <f t="shared" si="2"/>
        <v>35.70536689625731</v>
      </c>
      <c r="S13" s="847"/>
      <c r="T13" s="259">
        <f t="shared" si="3"/>
        <v>-1.6946331037426887</v>
      </c>
      <c r="U13" s="515">
        <v>254.4</v>
      </c>
      <c r="V13" s="263">
        <v>250.7</v>
      </c>
      <c r="W13" s="891"/>
      <c r="X13" s="844"/>
    </row>
    <row r="14" spans="1:24" ht="15" customHeight="1">
      <c r="A14" s="153"/>
      <c r="B14" s="844" t="s">
        <v>210</v>
      </c>
      <c r="C14" s="844"/>
      <c r="D14" s="91"/>
      <c r="E14" s="856">
        <v>229.34</v>
      </c>
      <c r="F14" s="856"/>
      <c r="G14" s="854">
        <v>20514</v>
      </c>
      <c r="H14" s="854"/>
      <c r="I14" s="854">
        <v>47564</v>
      </c>
      <c r="J14" s="854"/>
      <c r="K14" s="465">
        <v>23659</v>
      </c>
      <c r="L14" s="472">
        <v>23905</v>
      </c>
      <c r="M14" s="36"/>
      <c r="N14" s="158">
        <v>46922</v>
      </c>
      <c r="O14" s="252">
        <f t="shared" si="0"/>
        <v>642</v>
      </c>
      <c r="P14" s="253">
        <f t="shared" si="1"/>
        <v>1.3682281232684028</v>
      </c>
      <c r="Q14" s="46">
        <v>33.700000000000003</v>
      </c>
      <c r="R14" s="847">
        <f t="shared" si="2"/>
        <v>33.178800278466426</v>
      </c>
      <c r="S14" s="847"/>
      <c r="T14" s="259">
        <f t="shared" si="3"/>
        <v>-0.52119972153357708</v>
      </c>
      <c r="U14" s="515">
        <v>204.9</v>
      </c>
      <c r="V14" s="263">
        <v>207.4</v>
      </c>
      <c r="W14" s="891"/>
      <c r="X14" s="844"/>
    </row>
    <row r="15" spans="1:24" ht="15" customHeight="1">
      <c r="A15" s="153"/>
      <c r="B15" s="849" t="s">
        <v>254</v>
      </c>
      <c r="C15" s="849"/>
      <c r="D15" s="469"/>
      <c r="E15" s="889">
        <v>19.48</v>
      </c>
      <c r="F15" s="889"/>
      <c r="G15" s="874">
        <v>44041</v>
      </c>
      <c r="H15" s="874"/>
      <c r="I15" s="874">
        <v>114232</v>
      </c>
      <c r="J15" s="874"/>
      <c r="K15" s="468">
        <v>55471</v>
      </c>
      <c r="L15" s="473">
        <v>58761</v>
      </c>
      <c r="M15" s="36"/>
      <c r="N15" s="159">
        <v>110351</v>
      </c>
      <c r="O15" s="256">
        <f t="shared" si="0"/>
        <v>3881</v>
      </c>
      <c r="P15" s="403">
        <f t="shared" si="1"/>
        <v>3.5169595200768455</v>
      </c>
      <c r="Q15" s="49">
        <v>79.2</v>
      </c>
      <c r="R15" s="890">
        <f>(I15/$I$9)*1000</f>
        <v>79.683809465347252</v>
      </c>
      <c r="S15" s="890"/>
      <c r="T15" s="260">
        <f t="shared" si="3"/>
        <v>0.48380946534724956</v>
      </c>
      <c r="U15" s="516">
        <v>5780.6</v>
      </c>
      <c r="V15" s="264">
        <v>5864.1</v>
      </c>
      <c r="W15" s="892"/>
      <c r="X15" s="849"/>
    </row>
    <row r="16" spans="1:24" ht="15" customHeight="1">
      <c r="A16" s="153"/>
      <c r="B16" s="844" t="s">
        <v>212</v>
      </c>
      <c r="C16" s="844"/>
      <c r="D16" s="91"/>
      <c r="E16" s="856">
        <v>210.9</v>
      </c>
      <c r="F16" s="856"/>
      <c r="G16" s="854">
        <v>26142</v>
      </c>
      <c r="H16" s="854"/>
      <c r="I16" s="854">
        <v>61674</v>
      </c>
      <c r="J16" s="854"/>
      <c r="K16" s="465">
        <v>30626</v>
      </c>
      <c r="L16" s="472">
        <v>31048</v>
      </c>
      <c r="M16" s="36"/>
      <c r="N16" s="158">
        <v>60231</v>
      </c>
      <c r="O16" s="252">
        <f t="shared" si="0"/>
        <v>1443</v>
      </c>
      <c r="P16" s="253">
        <f t="shared" si="1"/>
        <v>2.3957762613936349</v>
      </c>
      <c r="Q16" s="46">
        <v>43.2</v>
      </c>
      <c r="R16" s="847">
        <f t="shared" si="2"/>
        <v>43.021388621102901</v>
      </c>
      <c r="S16" s="847"/>
      <c r="T16" s="259">
        <f t="shared" si="3"/>
        <v>-0.17861137889710221</v>
      </c>
      <c r="U16" s="515">
        <v>286.3</v>
      </c>
      <c r="V16" s="263">
        <v>292.39999999999998</v>
      </c>
      <c r="W16" s="891"/>
      <c r="X16" s="844"/>
    </row>
    <row r="17" spans="1:24" ht="15" customHeight="1">
      <c r="A17" s="153"/>
      <c r="B17" s="844" t="s">
        <v>214</v>
      </c>
      <c r="C17" s="844"/>
      <c r="D17" s="91"/>
      <c r="E17" s="856">
        <v>46.62</v>
      </c>
      <c r="F17" s="856"/>
      <c r="G17" s="854">
        <v>20647</v>
      </c>
      <c r="H17" s="854"/>
      <c r="I17" s="854">
        <v>58547</v>
      </c>
      <c r="J17" s="854"/>
      <c r="K17" s="465">
        <v>29333</v>
      </c>
      <c r="L17" s="472">
        <v>29214</v>
      </c>
      <c r="M17" s="36"/>
      <c r="N17" s="158">
        <v>57320</v>
      </c>
      <c r="O17" s="252">
        <f t="shared" si="0"/>
        <v>1227</v>
      </c>
      <c r="P17" s="253">
        <f t="shared" si="1"/>
        <v>2.1406140963014653</v>
      </c>
      <c r="Q17" s="46">
        <v>41.2</v>
      </c>
      <c r="R17" s="847">
        <f t="shared" si="2"/>
        <v>40.840114790668864</v>
      </c>
      <c r="S17" s="847"/>
      <c r="T17" s="259">
        <f t="shared" si="3"/>
        <v>-0.35988520933113932</v>
      </c>
      <c r="U17" s="515">
        <v>1229.3</v>
      </c>
      <c r="V17" s="263">
        <v>1255.8</v>
      </c>
      <c r="W17" s="891"/>
      <c r="X17" s="844"/>
    </row>
    <row r="18" spans="1:24" ht="15" customHeight="1">
      <c r="A18" s="153"/>
      <c r="B18" s="844" t="s">
        <v>216</v>
      </c>
      <c r="C18" s="844"/>
      <c r="D18" s="91"/>
      <c r="E18" s="856">
        <v>49.72</v>
      </c>
      <c r="F18" s="856"/>
      <c r="G18" s="854">
        <v>53325</v>
      </c>
      <c r="H18" s="854"/>
      <c r="I18" s="854">
        <v>139279</v>
      </c>
      <c r="J18" s="854"/>
      <c r="K18" s="465">
        <v>67522</v>
      </c>
      <c r="L18" s="472">
        <v>71757</v>
      </c>
      <c r="M18" s="36"/>
      <c r="N18" s="158">
        <v>130249</v>
      </c>
      <c r="O18" s="252">
        <f t="shared" si="0"/>
        <v>9030</v>
      </c>
      <c r="P18" s="253">
        <f t="shared" si="1"/>
        <v>6.932874724566024</v>
      </c>
      <c r="Q18" s="46">
        <v>93.5</v>
      </c>
      <c r="R18" s="847">
        <f>(I18/$I$9)*1000</f>
        <v>97.155624505603512</v>
      </c>
      <c r="S18" s="847"/>
      <c r="T18" s="259">
        <f t="shared" si="3"/>
        <v>3.6556245056035124</v>
      </c>
      <c r="U18" s="515">
        <v>2658.1</v>
      </c>
      <c r="V18" s="263">
        <v>2801.3</v>
      </c>
      <c r="W18" s="891"/>
      <c r="X18" s="844"/>
    </row>
    <row r="19" spans="1:24" ht="15" customHeight="1">
      <c r="A19" s="153"/>
      <c r="B19" s="844" t="s">
        <v>218</v>
      </c>
      <c r="C19" s="844"/>
      <c r="D19" s="91"/>
      <c r="E19" s="856">
        <v>19.600000000000001</v>
      </c>
      <c r="F19" s="856"/>
      <c r="G19" s="854">
        <v>21780</v>
      </c>
      <c r="H19" s="854"/>
      <c r="I19" s="854">
        <v>61119</v>
      </c>
      <c r="J19" s="854"/>
      <c r="K19" s="465">
        <v>29761</v>
      </c>
      <c r="L19" s="472">
        <v>31358</v>
      </c>
      <c r="M19" s="36"/>
      <c r="N19" s="158">
        <v>57261</v>
      </c>
      <c r="O19" s="252">
        <f>I19-N19</f>
        <v>3858</v>
      </c>
      <c r="P19" s="253">
        <f t="shared" si="1"/>
        <v>6.737570073872269</v>
      </c>
      <c r="Q19" s="46">
        <v>41.1</v>
      </c>
      <c r="R19" s="847">
        <f t="shared" si="2"/>
        <v>42.634242162551288</v>
      </c>
      <c r="S19" s="847"/>
      <c r="T19" s="259">
        <f t="shared" si="3"/>
        <v>1.534242162551287</v>
      </c>
      <c r="U19" s="515">
        <v>2944</v>
      </c>
      <c r="V19" s="263">
        <v>3118.3</v>
      </c>
      <c r="W19" s="891"/>
      <c r="X19" s="844"/>
    </row>
    <row r="20" spans="1:24" ht="15" customHeight="1">
      <c r="A20" s="153"/>
      <c r="B20" s="844" t="s">
        <v>474</v>
      </c>
      <c r="C20" s="844"/>
      <c r="D20" s="91"/>
      <c r="E20" s="876">
        <v>49.94</v>
      </c>
      <c r="F20" s="877"/>
      <c r="G20" s="865">
        <v>14295</v>
      </c>
      <c r="H20" s="865"/>
      <c r="I20" s="854">
        <v>42016</v>
      </c>
      <c r="J20" s="854"/>
      <c r="K20" s="465">
        <v>21194</v>
      </c>
      <c r="L20" s="472">
        <v>20822</v>
      </c>
      <c r="M20" s="36"/>
      <c r="N20" s="266">
        <v>39758</v>
      </c>
      <c r="O20" s="252">
        <f>I20-N20</f>
        <v>2258</v>
      </c>
      <c r="P20" s="253">
        <f t="shared" si="1"/>
        <v>5.6793601287791136</v>
      </c>
      <c r="Q20" s="513">
        <v>28.5</v>
      </c>
      <c r="R20" s="847">
        <f t="shared" si="2"/>
        <v>29.308730815323468</v>
      </c>
      <c r="S20" s="847"/>
      <c r="T20" s="259">
        <f>R20-Q20</f>
        <v>0.80873081532346802</v>
      </c>
      <c r="U20" s="501">
        <v>798.8</v>
      </c>
      <c r="V20" s="456">
        <v>841.3</v>
      </c>
      <c r="W20" s="891"/>
      <c r="X20" s="844"/>
    </row>
    <row r="21" spans="1:24" ht="15" customHeight="1">
      <c r="A21" s="153"/>
      <c r="B21" s="844" t="s">
        <v>198</v>
      </c>
      <c r="C21" s="844"/>
      <c r="D21" s="91"/>
      <c r="E21" s="856">
        <v>15.9</v>
      </c>
      <c r="F21" s="856"/>
      <c r="G21" s="854">
        <v>12641</v>
      </c>
      <c r="H21" s="854"/>
      <c r="I21" s="854">
        <v>34508</v>
      </c>
      <c r="J21" s="854"/>
      <c r="K21" s="465">
        <v>17280</v>
      </c>
      <c r="L21" s="472">
        <v>17228</v>
      </c>
      <c r="M21" s="36"/>
      <c r="N21" s="158">
        <v>34766</v>
      </c>
      <c r="O21" s="252">
        <f t="shared" si="0"/>
        <v>-258</v>
      </c>
      <c r="P21" s="255">
        <f>O21/N21*100</f>
        <v>-0.74210435482943105</v>
      </c>
      <c r="Q21" s="46">
        <v>25</v>
      </c>
      <c r="R21" s="847">
        <f t="shared" si="2"/>
        <v>24.071441426484725</v>
      </c>
      <c r="S21" s="847"/>
      <c r="T21" s="259">
        <f t="shared" si="3"/>
        <v>-0.92855857351527504</v>
      </c>
      <c r="U21" s="515">
        <v>2194.8000000000002</v>
      </c>
      <c r="V21" s="263">
        <v>2170.3000000000002</v>
      </c>
      <c r="W21" s="891"/>
      <c r="X21" s="844"/>
    </row>
    <row r="22" spans="1:24" ht="15" customHeight="1">
      <c r="A22" s="153"/>
      <c r="B22" s="844" t="s">
        <v>473</v>
      </c>
      <c r="C22" s="844"/>
      <c r="D22" s="91"/>
      <c r="E22" s="856">
        <v>5.18</v>
      </c>
      <c r="F22" s="856"/>
      <c r="G22" s="854">
        <v>7003</v>
      </c>
      <c r="H22" s="854"/>
      <c r="I22" s="854">
        <v>18410</v>
      </c>
      <c r="J22" s="854"/>
      <c r="K22" s="465">
        <v>8832</v>
      </c>
      <c r="L22" s="472">
        <v>9578</v>
      </c>
      <c r="M22" s="36"/>
      <c r="N22" s="158">
        <v>16318</v>
      </c>
      <c r="O22" s="252">
        <f t="shared" si="0"/>
        <v>2092</v>
      </c>
      <c r="P22" s="253">
        <f t="shared" si="1"/>
        <v>12.82019855374433</v>
      </c>
      <c r="Q22" s="46">
        <v>11.7</v>
      </c>
      <c r="R22" s="847">
        <f t="shared" si="2"/>
        <v>12.842101444928241</v>
      </c>
      <c r="S22" s="847"/>
      <c r="T22" s="259">
        <f t="shared" si="3"/>
        <v>1.1421014449282421</v>
      </c>
      <c r="U22" s="515">
        <v>3212.2</v>
      </c>
      <c r="V22" s="263">
        <v>3554.1</v>
      </c>
      <c r="W22" s="891"/>
      <c r="X22" s="844"/>
    </row>
    <row r="23" spans="1:24" ht="15" customHeight="1" thickBot="1">
      <c r="A23" s="155"/>
      <c r="B23" s="848" t="s">
        <v>203</v>
      </c>
      <c r="C23" s="848"/>
      <c r="D23" s="470"/>
      <c r="E23" s="870">
        <v>10.76</v>
      </c>
      <c r="F23" s="870"/>
      <c r="G23" s="857">
        <v>12763</v>
      </c>
      <c r="H23" s="857"/>
      <c r="I23" s="857">
        <v>37502</v>
      </c>
      <c r="J23" s="857"/>
      <c r="K23" s="466">
        <v>18429</v>
      </c>
      <c r="L23" s="474">
        <v>19073</v>
      </c>
      <c r="M23" s="36"/>
      <c r="N23" s="160">
        <v>35244</v>
      </c>
      <c r="O23" s="257">
        <f t="shared" si="0"/>
        <v>2258</v>
      </c>
      <c r="P23" s="255">
        <f t="shared" si="1"/>
        <v>6.4067642719328122</v>
      </c>
      <c r="Q23" s="161">
        <v>25.3</v>
      </c>
      <c r="R23" s="847">
        <f t="shared" si="2"/>
        <v>26.159939619103689</v>
      </c>
      <c r="S23" s="847"/>
      <c r="T23" s="261">
        <f>R23-Q23</f>
        <v>0.8599396191036881</v>
      </c>
      <c r="U23" s="517">
        <v>3287.7</v>
      </c>
      <c r="V23" s="265">
        <v>3485.3</v>
      </c>
      <c r="W23" s="891"/>
      <c r="X23" s="844"/>
    </row>
    <row r="24" spans="1:24" ht="15" customHeight="1">
      <c r="B24" s="866" t="s">
        <v>584</v>
      </c>
      <c r="C24" s="866"/>
      <c r="D24" s="866"/>
      <c r="E24" s="866"/>
      <c r="F24" s="866"/>
      <c r="G24" s="866"/>
      <c r="H24" s="866"/>
      <c r="I24" s="866"/>
      <c r="J24" s="866"/>
      <c r="K24" s="866"/>
      <c r="L24" s="43"/>
      <c r="M24" s="36"/>
      <c r="N24" s="42"/>
      <c r="O24" s="42"/>
      <c r="P24" s="247"/>
      <c r="Q24" s="42"/>
      <c r="R24" s="855"/>
      <c r="S24" s="855"/>
      <c r="T24" s="42"/>
      <c r="U24" s="7"/>
      <c r="V24" s="7" t="s">
        <v>602</v>
      </c>
      <c r="W24" s="7"/>
    </row>
    <row r="25" spans="1:24" ht="15" customHeight="1">
      <c r="B25" s="5" t="s">
        <v>656</v>
      </c>
      <c r="C25" s="5"/>
      <c r="D25" s="5"/>
      <c r="E25" s="5"/>
      <c r="F25" s="5"/>
      <c r="G25" s="5"/>
      <c r="H25" s="5"/>
      <c r="I25" s="5"/>
      <c r="J25" s="5"/>
      <c r="K25" s="42"/>
      <c r="L25" s="43"/>
      <c r="M25" s="5"/>
      <c r="N25" s="42"/>
      <c r="O25" s="42"/>
      <c r="P25" s="42"/>
      <c r="Q25" s="42"/>
      <c r="R25" s="42"/>
      <c r="S25" s="42"/>
      <c r="T25" s="42"/>
      <c r="U25" s="42"/>
      <c r="V25" s="42"/>
      <c r="W25" s="7"/>
    </row>
    <row r="26" spans="1:24" ht="15" customHeight="1">
      <c r="B26" s="864" t="s">
        <v>657</v>
      </c>
      <c r="C26" s="864"/>
      <c r="D26" s="864"/>
      <c r="E26" s="864"/>
      <c r="F26" s="864"/>
      <c r="G26" s="864"/>
      <c r="H26" s="864"/>
      <c r="I26" s="864"/>
      <c r="J26" s="864"/>
      <c r="K26" s="5"/>
      <c r="L26" s="43"/>
      <c r="M26" s="5"/>
      <c r="N26" s="42"/>
      <c r="O26" s="42"/>
      <c r="P26" s="42"/>
      <c r="Q26" s="42"/>
      <c r="R26" s="42"/>
      <c r="S26" s="42"/>
      <c r="T26" s="42"/>
      <c r="U26" s="42"/>
      <c r="V26" s="42"/>
      <c r="W26" s="42"/>
    </row>
    <row r="27" spans="1:24" ht="11.25" customHeight="1">
      <c r="B27" s="864"/>
      <c r="C27" s="864"/>
      <c r="D27" s="864"/>
      <c r="E27" s="864"/>
      <c r="F27" s="864"/>
      <c r="G27" s="864"/>
      <c r="H27" s="864"/>
      <c r="I27" s="864"/>
      <c r="J27" s="864"/>
      <c r="K27" s="864"/>
      <c r="L27" s="43"/>
      <c r="M27" s="5"/>
      <c r="N27" s="42"/>
      <c r="O27" s="42"/>
      <c r="P27" s="42"/>
      <c r="Q27" s="42"/>
      <c r="R27" s="42"/>
      <c r="S27" s="42"/>
      <c r="T27" s="42"/>
      <c r="U27" s="42"/>
      <c r="V27" s="42"/>
      <c r="W27" s="42"/>
    </row>
    <row r="28" spans="1:24" ht="15" customHeight="1" thickBot="1">
      <c r="B28" s="5" t="s">
        <v>255</v>
      </c>
      <c r="C28" s="5"/>
      <c r="D28" s="5"/>
      <c r="E28" s="42"/>
      <c r="F28" s="42"/>
      <c r="G28" s="42"/>
      <c r="H28" s="42"/>
      <c r="I28" s="42"/>
      <c r="J28" s="42"/>
      <c r="K28" s="42"/>
      <c r="L28" s="43"/>
      <c r="M28" s="5"/>
      <c r="N28" s="5" t="s">
        <v>256</v>
      </c>
      <c r="O28" s="42"/>
      <c r="P28" s="42"/>
      <c r="Q28" s="42"/>
      <c r="R28" s="42"/>
      <c r="S28" s="42"/>
      <c r="T28" s="42"/>
      <c r="U28" s="42"/>
      <c r="V28" s="42"/>
      <c r="W28" s="42"/>
    </row>
    <row r="29" spans="1:24" ht="15" customHeight="1">
      <c r="A29" s="858" t="s">
        <v>244</v>
      </c>
      <c r="B29" s="859"/>
      <c r="C29" s="859"/>
      <c r="D29" s="859"/>
      <c r="E29" s="859" t="s">
        <v>257</v>
      </c>
      <c r="F29" s="859"/>
      <c r="G29" s="859"/>
      <c r="H29" s="875"/>
      <c r="I29" s="867" t="s">
        <v>258</v>
      </c>
      <c r="J29" s="868"/>
      <c r="K29" s="868"/>
      <c r="L29" s="869"/>
      <c r="M29" s="453"/>
      <c r="N29" s="862" t="s">
        <v>195</v>
      </c>
      <c r="O29" s="840" t="s">
        <v>259</v>
      </c>
      <c r="P29" s="841"/>
      <c r="Q29" s="841"/>
      <c r="R29" s="841"/>
      <c r="S29" s="842"/>
      <c r="T29" s="851" t="s">
        <v>582</v>
      </c>
      <c r="U29" s="841"/>
      <c r="V29" s="841"/>
      <c r="W29" s="852"/>
      <c r="X29" s="453"/>
    </row>
    <row r="30" spans="1:24" ht="15" customHeight="1">
      <c r="A30" s="860"/>
      <c r="B30" s="861"/>
      <c r="C30" s="861"/>
      <c r="D30" s="861"/>
      <c r="E30" s="10" t="s">
        <v>176</v>
      </c>
      <c r="F30" s="10" t="s">
        <v>179</v>
      </c>
      <c r="G30" s="10" t="s">
        <v>182</v>
      </c>
      <c r="H30" s="479" t="s">
        <v>260</v>
      </c>
      <c r="I30" s="460" t="s">
        <v>176</v>
      </c>
      <c r="J30" s="478" t="s">
        <v>179</v>
      </c>
      <c r="K30" s="478" t="s">
        <v>182</v>
      </c>
      <c r="L30" s="152" t="s">
        <v>260</v>
      </c>
      <c r="M30" s="453"/>
      <c r="N30" s="863"/>
      <c r="O30" s="452" t="s">
        <v>176</v>
      </c>
      <c r="P30" s="452" t="s">
        <v>179</v>
      </c>
      <c r="Q30" s="452" t="s">
        <v>182</v>
      </c>
      <c r="R30" s="838" t="s">
        <v>260</v>
      </c>
      <c r="S30" s="839"/>
      <c r="T30" s="477" t="s">
        <v>176</v>
      </c>
      <c r="U30" s="477" t="s">
        <v>179</v>
      </c>
      <c r="V30" s="477" t="s">
        <v>182</v>
      </c>
      <c r="W30" s="484" t="s">
        <v>260</v>
      </c>
      <c r="X30" s="476"/>
    </row>
    <row r="31" spans="1:24" ht="15" customHeight="1">
      <c r="A31" s="153"/>
      <c r="B31" s="872" t="s">
        <v>240</v>
      </c>
      <c r="C31" s="872"/>
      <c r="D31" s="488"/>
      <c r="E31" s="51">
        <f t="shared" ref="E31:E47" si="4">F31+G31</f>
        <v>44780</v>
      </c>
      <c r="F31" s="52">
        <v>46455</v>
      </c>
      <c r="G31" s="53">
        <v>-1675</v>
      </c>
      <c r="H31" s="165" t="s">
        <v>261</v>
      </c>
      <c r="I31" s="52">
        <f t="shared" ref="I31:I47" si="5">+J31+K31</f>
        <v>43374</v>
      </c>
      <c r="J31" s="52">
        <v>41051</v>
      </c>
      <c r="K31" s="53">
        <v>2323</v>
      </c>
      <c r="L31" s="592" t="s">
        <v>262</v>
      </c>
      <c r="M31" s="453"/>
      <c r="N31" s="459" t="s">
        <v>240</v>
      </c>
      <c r="O31" s="326">
        <v>31224</v>
      </c>
      <c r="P31" s="254">
        <v>35842</v>
      </c>
      <c r="Q31" s="269">
        <f>+O31-P31</f>
        <v>-4618</v>
      </c>
      <c r="R31" s="843" t="s">
        <v>2</v>
      </c>
      <c r="S31" s="843"/>
      <c r="T31" s="326">
        <f t="shared" ref="T31:T45" si="6">I9-N9</f>
        <v>40748</v>
      </c>
      <c r="U31" s="254">
        <v>30326</v>
      </c>
      <c r="V31" s="269">
        <f>+T31-U31</f>
        <v>10422</v>
      </c>
      <c r="W31" s="485" t="s">
        <v>4</v>
      </c>
      <c r="X31" s="475"/>
    </row>
    <row r="32" spans="1:24" ht="15" customHeight="1">
      <c r="A32" s="153"/>
      <c r="B32" s="844" t="s">
        <v>200</v>
      </c>
      <c r="C32" s="844"/>
      <c r="D32" s="489"/>
      <c r="E32" s="47">
        <f t="shared" si="4"/>
        <v>-858</v>
      </c>
      <c r="F32" s="53">
        <v>8797</v>
      </c>
      <c r="G32" s="53">
        <v>-9655</v>
      </c>
      <c r="H32" s="165" t="s">
        <v>450</v>
      </c>
      <c r="I32" s="53">
        <f t="shared" si="5"/>
        <v>11361</v>
      </c>
      <c r="J32" s="53">
        <v>7680</v>
      </c>
      <c r="K32" s="53">
        <v>3681</v>
      </c>
      <c r="L32" s="593" t="s">
        <v>262</v>
      </c>
      <c r="M32" s="453"/>
      <c r="N32" s="457" t="s">
        <v>200</v>
      </c>
      <c r="O32" s="254">
        <v>3561</v>
      </c>
      <c r="P32" s="254">
        <v>6363</v>
      </c>
      <c r="Q32" s="269">
        <f>+O32-P32</f>
        <v>-2802</v>
      </c>
      <c r="R32" s="780" t="s">
        <v>578</v>
      </c>
      <c r="S32" s="780"/>
      <c r="T32" s="254">
        <f t="shared" si="6"/>
        <v>3481</v>
      </c>
      <c r="U32" s="254">
        <v>4803</v>
      </c>
      <c r="V32" s="269">
        <f>+T32-U32</f>
        <v>-1322</v>
      </c>
      <c r="W32" s="486" t="s">
        <v>578</v>
      </c>
      <c r="X32" s="475"/>
    </row>
    <row r="33" spans="1:24" ht="15" customHeight="1">
      <c r="A33" s="153"/>
      <c r="B33" s="844" t="s">
        <v>585</v>
      </c>
      <c r="C33" s="844"/>
      <c r="D33" s="489"/>
      <c r="E33" s="267" t="s">
        <v>457</v>
      </c>
      <c r="F33" s="267" t="s">
        <v>457</v>
      </c>
      <c r="G33" s="267" t="s">
        <v>457</v>
      </c>
      <c r="H33" s="267" t="s">
        <v>457</v>
      </c>
      <c r="I33" s="53">
        <f t="shared" si="5"/>
        <v>3543</v>
      </c>
      <c r="J33" s="53">
        <v>3229</v>
      </c>
      <c r="K33" s="53">
        <v>314</v>
      </c>
      <c r="L33" s="593" t="s">
        <v>262</v>
      </c>
      <c r="M33" s="453"/>
      <c r="N33" s="457" t="s">
        <v>202</v>
      </c>
      <c r="O33" s="254">
        <v>3444</v>
      </c>
      <c r="P33" s="254">
        <v>2563</v>
      </c>
      <c r="Q33" s="254">
        <f>+O33-P33</f>
        <v>881</v>
      </c>
      <c r="R33" s="780" t="s">
        <v>4</v>
      </c>
      <c r="S33" s="780"/>
      <c r="T33" s="254">
        <f t="shared" si="6"/>
        <v>1919</v>
      </c>
      <c r="U33" s="254">
        <v>1926</v>
      </c>
      <c r="V33" s="254">
        <f>+T33-U33</f>
        <v>-7</v>
      </c>
      <c r="W33" s="486" t="s">
        <v>597</v>
      </c>
      <c r="X33" s="475"/>
    </row>
    <row r="34" spans="1:24" ht="15" customHeight="1">
      <c r="A34" s="153"/>
      <c r="B34" s="844" t="s">
        <v>594</v>
      </c>
      <c r="C34" s="844"/>
      <c r="D34" s="489"/>
      <c r="E34" s="47">
        <f t="shared" si="4"/>
        <v>184</v>
      </c>
      <c r="F34" s="53">
        <v>748</v>
      </c>
      <c r="G34" s="53">
        <v>-564</v>
      </c>
      <c r="H34" s="165" t="s">
        <v>261</v>
      </c>
      <c r="I34" s="267" t="s">
        <v>457</v>
      </c>
      <c r="J34" s="267" t="s">
        <v>457</v>
      </c>
      <c r="K34" s="267" t="s">
        <v>457</v>
      </c>
      <c r="L34" s="594" t="s">
        <v>457</v>
      </c>
      <c r="M34" s="453"/>
      <c r="N34" s="457" t="s">
        <v>206</v>
      </c>
      <c r="O34" s="254">
        <v>2159</v>
      </c>
      <c r="P34" s="269">
        <v>3924</v>
      </c>
      <c r="Q34" s="269">
        <f t="shared" ref="Q34:Q45" si="7">+O34-P34</f>
        <v>-1765</v>
      </c>
      <c r="R34" s="780" t="s">
        <v>578</v>
      </c>
      <c r="S34" s="780"/>
      <c r="T34" s="254">
        <f t="shared" si="6"/>
        <v>4315</v>
      </c>
      <c r="U34" s="269">
        <v>3535</v>
      </c>
      <c r="V34" s="269">
        <f t="shared" ref="V34:V45" si="8">+T34-U34</f>
        <v>780</v>
      </c>
      <c r="W34" s="486" t="s">
        <v>598</v>
      </c>
      <c r="X34" s="475"/>
    </row>
    <row r="35" spans="1:24" ht="15" customHeight="1">
      <c r="A35" s="153"/>
      <c r="B35" s="871" t="s">
        <v>595</v>
      </c>
      <c r="C35" s="871"/>
      <c r="D35" s="489"/>
      <c r="E35" s="47">
        <f t="shared" si="4"/>
        <v>3892</v>
      </c>
      <c r="F35" s="53">
        <v>2369</v>
      </c>
      <c r="G35" s="53">
        <v>1523</v>
      </c>
      <c r="H35" s="165" t="s">
        <v>262</v>
      </c>
      <c r="I35" s="267" t="s">
        <v>457</v>
      </c>
      <c r="J35" s="267" t="s">
        <v>457</v>
      </c>
      <c r="K35" s="267" t="s">
        <v>457</v>
      </c>
      <c r="L35" s="594" t="s">
        <v>457</v>
      </c>
      <c r="M35" s="453"/>
      <c r="N35" s="457" t="s">
        <v>204</v>
      </c>
      <c r="O35" s="254">
        <v>-1454</v>
      </c>
      <c r="P35" s="269">
        <v>117</v>
      </c>
      <c r="Q35" s="269">
        <f t="shared" si="7"/>
        <v>-1571</v>
      </c>
      <c r="R35" s="780" t="s">
        <v>579</v>
      </c>
      <c r="S35" s="780"/>
      <c r="T35" s="254">
        <f t="shared" si="6"/>
        <v>-853</v>
      </c>
      <c r="U35" s="269">
        <v>-106</v>
      </c>
      <c r="V35" s="269">
        <f t="shared" si="8"/>
        <v>-747</v>
      </c>
      <c r="W35" s="508" t="s">
        <v>599</v>
      </c>
      <c r="X35" s="475"/>
    </row>
    <row r="36" spans="1:24" ht="15" customHeight="1">
      <c r="A36" s="153"/>
      <c r="B36" s="844" t="s">
        <v>206</v>
      </c>
      <c r="C36" s="844"/>
      <c r="D36" s="489"/>
      <c r="E36" s="47">
        <f t="shared" si="4"/>
        <v>3882</v>
      </c>
      <c r="F36" s="53">
        <v>4710</v>
      </c>
      <c r="G36" s="53">
        <v>-828</v>
      </c>
      <c r="H36" s="165" t="s">
        <v>261</v>
      </c>
      <c r="I36" s="53">
        <f t="shared" si="5"/>
        <v>3025</v>
      </c>
      <c r="J36" s="53">
        <v>4112</v>
      </c>
      <c r="K36" s="53">
        <v>-1087</v>
      </c>
      <c r="L36" s="593" t="s">
        <v>261</v>
      </c>
      <c r="M36" s="453"/>
      <c r="N36" s="457" t="s">
        <v>210</v>
      </c>
      <c r="O36" s="254">
        <v>1739</v>
      </c>
      <c r="P36" s="269">
        <v>1506</v>
      </c>
      <c r="Q36" s="269">
        <f t="shared" si="7"/>
        <v>233</v>
      </c>
      <c r="R36" s="780" t="s">
        <v>580</v>
      </c>
      <c r="S36" s="780"/>
      <c r="T36" s="254">
        <f t="shared" si="6"/>
        <v>642</v>
      </c>
      <c r="U36" s="269">
        <v>1014</v>
      </c>
      <c r="V36" s="269">
        <f t="shared" si="8"/>
        <v>-372</v>
      </c>
      <c r="W36" s="486" t="s">
        <v>576</v>
      </c>
      <c r="X36" s="475"/>
    </row>
    <row r="37" spans="1:24" ht="15" customHeight="1">
      <c r="A37" s="153"/>
      <c r="B37" s="844" t="s">
        <v>586</v>
      </c>
      <c r="C37" s="844"/>
      <c r="D37" s="489"/>
      <c r="E37" s="267" t="s">
        <v>457</v>
      </c>
      <c r="F37" s="267" t="s">
        <v>457</v>
      </c>
      <c r="G37" s="267" t="s">
        <v>457</v>
      </c>
      <c r="H37" s="267" t="s">
        <v>457</v>
      </c>
      <c r="I37" s="53">
        <f t="shared" si="5"/>
        <v>-756</v>
      </c>
      <c r="J37" s="53">
        <v>434</v>
      </c>
      <c r="K37" s="53">
        <v>-1190</v>
      </c>
      <c r="L37" s="593" t="s">
        <v>3</v>
      </c>
      <c r="M37" s="34"/>
      <c r="N37" s="458" t="s">
        <v>254</v>
      </c>
      <c r="O37" s="506">
        <v>4302</v>
      </c>
      <c r="P37" s="270">
        <v>4781</v>
      </c>
      <c r="Q37" s="270">
        <f t="shared" si="7"/>
        <v>-479</v>
      </c>
      <c r="R37" s="853" t="s">
        <v>578</v>
      </c>
      <c r="S37" s="853"/>
      <c r="T37" s="506">
        <f t="shared" si="6"/>
        <v>3881</v>
      </c>
      <c r="U37" s="270">
        <v>4044</v>
      </c>
      <c r="V37" s="270">
        <f t="shared" si="8"/>
        <v>-163</v>
      </c>
      <c r="W37" s="507" t="s">
        <v>578</v>
      </c>
      <c r="X37" s="475"/>
    </row>
    <row r="38" spans="1:24" ht="15" customHeight="1">
      <c r="A38" s="153"/>
      <c r="B38" s="844" t="s">
        <v>596</v>
      </c>
      <c r="C38" s="844"/>
      <c r="D38" s="489"/>
      <c r="E38" s="47">
        <f t="shared" si="4"/>
        <v>606</v>
      </c>
      <c r="F38" s="53">
        <v>959</v>
      </c>
      <c r="G38" s="53">
        <v>-353</v>
      </c>
      <c r="H38" s="165" t="s">
        <v>261</v>
      </c>
      <c r="I38" s="267" t="s">
        <v>457</v>
      </c>
      <c r="J38" s="267" t="s">
        <v>457</v>
      </c>
      <c r="K38" s="267" t="s">
        <v>457</v>
      </c>
      <c r="L38" s="594" t="s">
        <v>457</v>
      </c>
      <c r="M38" s="453"/>
      <c r="N38" s="457" t="s">
        <v>212</v>
      </c>
      <c r="O38" s="254">
        <v>768</v>
      </c>
      <c r="P38" s="269">
        <v>1685</v>
      </c>
      <c r="Q38" s="269">
        <f t="shared" si="7"/>
        <v>-917</v>
      </c>
      <c r="R38" s="780" t="s">
        <v>576</v>
      </c>
      <c r="S38" s="780"/>
      <c r="T38" s="254">
        <f t="shared" si="6"/>
        <v>1443</v>
      </c>
      <c r="U38" s="269">
        <v>1341</v>
      </c>
      <c r="V38" s="269">
        <f t="shared" si="8"/>
        <v>102</v>
      </c>
      <c r="W38" s="486" t="s">
        <v>4</v>
      </c>
      <c r="X38" s="475"/>
    </row>
    <row r="39" spans="1:24" ht="15" customHeight="1">
      <c r="A39" s="153"/>
      <c r="B39" s="844" t="s">
        <v>210</v>
      </c>
      <c r="C39" s="844"/>
      <c r="D39" s="489"/>
      <c r="E39" s="47">
        <f t="shared" si="4"/>
        <v>1525</v>
      </c>
      <c r="F39" s="53">
        <v>1441</v>
      </c>
      <c r="G39" s="53">
        <v>84</v>
      </c>
      <c r="H39" s="165" t="s">
        <v>262</v>
      </c>
      <c r="I39" s="53">
        <f t="shared" si="5"/>
        <v>1881</v>
      </c>
      <c r="J39" s="53">
        <v>1254</v>
      </c>
      <c r="K39" s="53">
        <v>627</v>
      </c>
      <c r="L39" s="593" t="s">
        <v>262</v>
      </c>
      <c r="M39" s="453"/>
      <c r="N39" s="457" t="s">
        <v>214</v>
      </c>
      <c r="O39" s="254">
        <v>1504</v>
      </c>
      <c r="P39" s="269">
        <v>1457</v>
      </c>
      <c r="Q39" s="269">
        <f t="shared" si="7"/>
        <v>47</v>
      </c>
      <c r="R39" s="780" t="s">
        <v>580</v>
      </c>
      <c r="S39" s="780"/>
      <c r="T39" s="254">
        <f t="shared" si="6"/>
        <v>1227</v>
      </c>
      <c r="U39" s="269">
        <v>1405</v>
      </c>
      <c r="V39" s="269">
        <f t="shared" si="8"/>
        <v>-178</v>
      </c>
      <c r="W39" s="486" t="s">
        <v>576</v>
      </c>
      <c r="X39" s="475"/>
    </row>
    <row r="40" spans="1:24" ht="15" customHeight="1">
      <c r="A40" s="153"/>
      <c r="B40" s="849" t="s">
        <v>254</v>
      </c>
      <c r="C40" s="849"/>
      <c r="D40" s="490"/>
      <c r="E40" s="55">
        <f t="shared" si="4"/>
        <v>6732</v>
      </c>
      <c r="F40" s="56">
        <v>6416</v>
      </c>
      <c r="G40" s="56">
        <v>316</v>
      </c>
      <c r="H40" s="166" t="s">
        <v>262</v>
      </c>
      <c r="I40" s="56">
        <f t="shared" si="5"/>
        <v>3315</v>
      </c>
      <c r="J40" s="56">
        <v>5585</v>
      </c>
      <c r="K40" s="56">
        <v>-2270</v>
      </c>
      <c r="L40" s="595" t="s">
        <v>261</v>
      </c>
      <c r="M40" s="453"/>
      <c r="N40" s="457" t="s">
        <v>216</v>
      </c>
      <c r="O40" s="254">
        <v>3849</v>
      </c>
      <c r="P40" s="269">
        <v>4852</v>
      </c>
      <c r="Q40" s="269">
        <f t="shared" si="7"/>
        <v>-1003</v>
      </c>
      <c r="R40" s="780" t="s">
        <v>576</v>
      </c>
      <c r="S40" s="780"/>
      <c r="T40" s="254">
        <f t="shared" si="6"/>
        <v>9030</v>
      </c>
      <c r="U40" s="269">
        <v>4043</v>
      </c>
      <c r="V40" s="269">
        <f t="shared" si="8"/>
        <v>4987</v>
      </c>
      <c r="W40" s="486" t="s">
        <v>577</v>
      </c>
      <c r="X40" s="475"/>
    </row>
    <row r="41" spans="1:24" ht="15" customHeight="1">
      <c r="A41" s="153"/>
      <c r="B41" s="844" t="s">
        <v>212</v>
      </c>
      <c r="C41" s="844"/>
      <c r="D41" s="489"/>
      <c r="E41" s="47">
        <f t="shared" si="4"/>
        <v>2651</v>
      </c>
      <c r="F41" s="53">
        <v>1815</v>
      </c>
      <c r="G41" s="53">
        <v>836</v>
      </c>
      <c r="H41" s="165" t="s">
        <v>262</v>
      </c>
      <c r="I41" s="53">
        <f t="shared" si="5"/>
        <v>2857</v>
      </c>
      <c r="J41" s="53">
        <v>1688</v>
      </c>
      <c r="K41" s="53">
        <v>1169</v>
      </c>
      <c r="L41" s="593" t="s">
        <v>262</v>
      </c>
      <c r="M41" s="453"/>
      <c r="N41" s="457" t="s">
        <v>218</v>
      </c>
      <c r="O41" s="254">
        <v>4745</v>
      </c>
      <c r="P41" s="269">
        <v>2724</v>
      </c>
      <c r="Q41" s="269">
        <f t="shared" si="7"/>
        <v>2021</v>
      </c>
      <c r="R41" s="780" t="s">
        <v>4</v>
      </c>
      <c r="S41" s="780"/>
      <c r="T41" s="254">
        <f t="shared" si="6"/>
        <v>3858</v>
      </c>
      <c r="U41" s="269">
        <v>2827</v>
      </c>
      <c r="V41" s="269">
        <f t="shared" si="8"/>
        <v>1031</v>
      </c>
      <c r="W41" s="486" t="s">
        <v>4</v>
      </c>
      <c r="X41" s="475"/>
    </row>
    <row r="42" spans="1:24" ht="15" customHeight="1">
      <c r="A42" s="153"/>
      <c r="B42" s="844" t="s">
        <v>214</v>
      </c>
      <c r="C42" s="844"/>
      <c r="D42" s="489"/>
      <c r="E42" s="47">
        <f t="shared" si="4"/>
        <v>1478</v>
      </c>
      <c r="F42" s="53">
        <v>2041</v>
      </c>
      <c r="G42" s="53">
        <v>-563</v>
      </c>
      <c r="H42" s="165" t="s">
        <v>261</v>
      </c>
      <c r="I42" s="53">
        <f t="shared" si="5"/>
        <v>842</v>
      </c>
      <c r="J42" s="53">
        <v>1584</v>
      </c>
      <c r="K42" s="53">
        <v>-742</v>
      </c>
      <c r="L42" s="593" t="s">
        <v>261</v>
      </c>
      <c r="M42" s="453"/>
      <c r="N42" s="480" t="s">
        <v>593</v>
      </c>
      <c r="O42" s="267" t="s">
        <v>457</v>
      </c>
      <c r="P42" s="267" t="s">
        <v>457</v>
      </c>
      <c r="Q42" s="267" t="s">
        <v>457</v>
      </c>
      <c r="R42" s="267"/>
      <c r="S42" s="267" t="s">
        <v>457</v>
      </c>
      <c r="T42" s="254">
        <f t="shared" si="6"/>
        <v>2258</v>
      </c>
      <c r="U42" s="269">
        <v>-10</v>
      </c>
      <c r="V42" s="269">
        <f>+T42-U42</f>
        <v>2268</v>
      </c>
      <c r="W42" s="486" t="s">
        <v>600</v>
      </c>
      <c r="X42" s="475"/>
    </row>
    <row r="43" spans="1:24" ht="15" customHeight="1">
      <c r="A43" s="153"/>
      <c r="B43" s="844" t="s">
        <v>216</v>
      </c>
      <c r="C43" s="844"/>
      <c r="D43" s="489"/>
      <c r="E43" s="47">
        <f t="shared" si="4"/>
        <v>4350</v>
      </c>
      <c r="F43" s="53">
        <v>5722</v>
      </c>
      <c r="G43" s="53">
        <v>-1372</v>
      </c>
      <c r="H43" s="165" t="s">
        <v>261</v>
      </c>
      <c r="I43" s="53">
        <f t="shared" si="5"/>
        <v>6714</v>
      </c>
      <c r="J43" s="53">
        <v>5426</v>
      </c>
      <c r="K43" s="53">
        <v>1288</v>
      </c>
      <c r="L43" s="593" t="s">
        <v>262</v>
      </c>
      <c r="M43" s="453"/>
      <c r="N43" s="457" t="s">
        <v>198</v>
      </c>
      <c r="O43" s="254">
        <v>1033</v>
      </c>
      <c r="P43" s="269">
        <v>1131</v>
      </c>
      <c r="Q43" s="269">
        <f t="shared" si="7"/>
        <v>-98</v>
      </c>
      <c r="R43" s="780" t="s">
        <v>576</v>
      </c>
      <c r="S43" s="780"/>
      <c r="T43" s="254">
        <f t="shared" si="6"/>
        <v>-258</v>
      </c>
      <c r="U43" s="269">
        <v>898</v>
      </c>
      <c r="V43" s="269">
        <f t="shared" si="8"/>
        <v>-1156</v>
      </c>
      <c r="W43" s="486" t="s">
        <v>601</v>
      </c>
      <c r="X43" s="475"/>
    </row>
    <row r="44" spans="1:24" ht="15" customHeight="1">
      <c r="A44" s="153"/>
      <c r="B44" s="844" t="s">
        <v>198</v>
      </c>
      <c r="C44" s="844"/>
      <c r="D44" s="489"/>
      <c r="E44" s="47">
        <f t="shared" si="4"/>
        <v>4261</v>
      </c>
      <c r="F44" s="53">
        <v>1449</v>
      </c>
      <c r="G44" s="53">
        <v>2812</v>
      </c>
      <c r="H44" s="165" t="s">
        <v>263</v>
      </c>
      <c r="I44" s="53">
        <f t="shared" si="5"/>
        <v>2318</v>
      </c>
      <c r="J44" s="53">
        <v>2541</v>
      </c>
      <c r="K44" s="53">
        <v>-223</v>
      </c>
      <c r="L44" s="593" t="s">
        <v>261</v>
      </c>
      <c r="M44" s="453"/>
      <c r="N44" s="457" t="s">
        <v>199</v>
      </c>
      <c r="O44" s="254">
        <v>975</v>
      </c>
      <c r="P44" s="269">
        <v>379</v>
      </c>
      <c r="Q44" s="269">
        <f t="shared" si="7"/>
        <v>596</v>
      </c>
      <c r="R44" s="780" t="s">
        <v>577</v>
      </c>
      <c r="S44" s="780"/>
      <c r="T44" s="254">
        <f t="shared" si="6"/>
        <v>2092</v>
      </c>
      <c r="U44" s="269">
        <v>677</v>
      </c>
      <c r="V44" s="269">
        <f t="shared" si="8"/>
        <v>1415</v>
      </c>
      <c r="W44" s="486" t="s">
        <v>577</v>
      </c>
      <c r="X44" s="475"/>
    </row>
    <row r="45" spans="1:24" ht="15" customHeight="1" thickBot="1">
      <c r="A45" s="153"/>
      <c r="B45" s="844" t="s">
        <v>264</v>
      </c>
      <c r="C45" s="844"/>
      <c r="D45" s="489"/>
      <c r="E45" s="47">
        <f t="shared" si="4"/>
        <v>4945</v>
      </c>
      <c r="F45" s="53">
        <v>2659</v>
      </c>
      <c r="G45" s="53">
        <v>2286</v>
      </c>
      <c r="H45" s="165" t="s">
        <v>262</v>
      </c>
      <c r="I45" s="53">
        <f t="shared" si="5"/>
        <v>956</v>
      </c>
      <c r="J45" s="53">
        <v>1356</v>
      </c>
      <c r="K45" s="53">
        <v>-400</v>
      </c>
      <c r="L45" s="593" t="s">
        <v>261</v>
      </c>
      <c r="M45" s="453"/>
      <c r="N45" s="168" t="s">
        <v>203</v>
      </c>
      <c r="O45" s="327">
        <v>1707</v>
      </c>
      <c r="P45" s="271">
        <v>1577</v>
      </c>
      <c r="Q45" s="271">
        <f t="shared" si="7"/>
        <v>130</v>
      </c>
      <c r="R45" s="837" t="s">
        <v>581</v>
      </c>
      <c r="S45" s="837"/>
      <c r="T45" s="327">
        <f t="shared" si="6"/>
        <v>2258</v>
      </c>
      <c r="U45" s="271">
        <v>1657</v>
      </c>
      <c r="V45" s="271">
        <f t="shared" si="8"/>
        <v>601</v>
      </c>
      <c r="W45" s="487" t="s">
        <v>581</v>
      </c>
      <c r="X45" s="475"/>
    </row>
    <row r="46" spans="1:24" ht="15" customHeight="1">
      <c r="A46" s="153"/>
      <c r="B46" s="844" t="s">
        <v>199</v>
      </c>
      <c r="C46" s="844"/>
      <c r="D46" s="489"/>
      <c r="E46" s="47">
        <f t="shared" si="4"/>
        <v>259</v>
      </c>
      <c r="F46" s="53">
        <v>518</v>
      </c>
      <c r="G46" s="53">
        <v>-259</v>
      </c>
      <c r="H46" s="165" t="s">
        <v>261</v>
      </c>
      <c r="I46" s="53">
        <f t="shared" si="5"/>
        <v>234</v>
      </c>
      <c r="J46" s="53">
        <v>415</v>
      </c>
      <c r="K46" s="53">
        <v>-181</v>
      </c>
      <c r="L46" s="593" t="s">
        <v>261</v>
      </c>
      <c r="M46" s="36"/>
      <c r="N46" s="53"/>
      <c r="O46" s="53"/>
      <c r="P46" s="53"/>
      <c r="Q46" s="451"/>
      <c r="R46" s="451"/>
      <c r="S46" s="451"/>
      <c r="T46" s="47"/>
      <c r="U46" s="47"/>
      <c r="V46" s="53"/>
      <c r="W46" s="7" t="s">
        <v>602</v>
      </c>
    </row>
    <row r="47" spans="1:24" ht="15" customHeight="1" thickBot="1">
      <c r="A47" s="155"/>
      <c r="B47" s="848" t="s">
        <v>203</v>
      </c>
      <c r="C47" s="848"/>
      <c r="D47" s="491"/>
      <c r="E47" s="162">
        <f t="shared" si="4"/>
        <v>1850</v>
      </c>
      <c r="F47" s="163">
        <v>1628</v>
      </c>
      <c r="G47" s="163">
        <v>222</v>
      </c>
      <c r="H47" s="167" t="s">
        <v>262</v>
      </c>
      <c r="I47" s="163">
        <f t="shared" si="5"/>
        <v>1438</v>
      </c>
      <c r="J47" s="163">
        <v>1580</v>
      </c>
      <c r="K47" s="163">
        <v>-142</v>
      </c>
      <c r="L47" s="596" t="s">
        <v>261</v>
      </c>
      <c r="M47" s="5" t="s">
        <v>266</v>
      </c>
      <c r="N47" s="42"/>
      <c r="O47" s="42"/>
      <c r="P47" s="42"/>
      <c r="Q47" s="42"/>
      <c r="R47" s="42"/>
      <c r="S47" s="42"/>
      <c r="T47" s="42"/>
      <c r="U47" s="42"/>
      <c r="V47" s="42"/>
    </row>
    <row r="48" spans="1:24" ht="15" customHeight="1">
      <c r="A48" s="36"/>
      <c r="B48" s="20" t="s">
        <v>265</v>
      </c>
      <c r="C48" s="33"/>
      <c r="D48" s="20"/>
      <c r="E48" s="47"/>
      <c r="F48" s="47"/>
      <c r="G48" s="47"/>
      <c r="H48" s="54"/>
      <c r="I48" s="47"/>
      <c r="J48" s="47"/>
      <c r="K48" s="47"/>
      <c r="L48" s="54"/>
      <c r="M48" s="5" t="s">
        <v>267</v>
      </c>
      <c r="N48" s="42"/>
      <c r="O48" s="42"/>
      <c r="P48" s="42"/>
      <c r="Q48" s="42"/>
      <c r="R48" s="42"/>
      <c r="S48" s="42"/>
      <c r="T48" s="42"/>
      <c r="U48" s="42"/>
      <c r="V48" s="42"/>
      <c r="W48" s="42"/>
    </row>
    <row r="49" spans="2:23" ht="15" customHeight="1">
      <c r="B49" s="850" t="s">
        <v>592</v>
      </c>
      <c r="C49" s="5" t="s">
        <v>589</v>
      </c>
      <c r="D49" s="5"/>
      <c r="E49" s="42"/>
      <c r="F49" s="42"/>
      <c r="G49" s="42"/>
      <c r="H49" s="42"/>
      <c r="I49" s="42"/>
      <c r="J49" s="42"/>
      <c r="K49" s="42"/>
      <c r="L49" s="43"/>
      <c r="M49" s="57" t="s">
        <v>268</v>
      </c>
      <c r="N49" s="57"/>
      <c r="O49" s="57"/>
      <c r="P49" s="57"/>
      <c r="Q49" s="57"/>
      <c r="S49" s="846" t="s">
        <v>269</v>
      </c>
      <c r="T49" s="846"/>
      <c r="U49" s="846"/>
      <c r="V49" s="846"/>
    </row>
    <row r="50" spans="2:23" ht="15" customHeight="1">
      <c r="B50" s="850"/>
      <c r="C50" s="5" t="s">
        <v>587</v>
      </c>
      <c r="D50" s="5"/>
      <c r="E50" s="42"/>
      <c r="F50" s="42"/>
      <c r="G50" s="42"/>
      <c r="H50" s="42"/>
      <c r="I50" s="42"/>
      <c r="J50" s="42"/>
      <c r="K50" s="42"/>
      <c r="L50" s="43"/>
      <c r="M50" s="57" t="s">
        <v>270</v>
      </c>
      <c r="N50" s="57"/>
      <c r="O50" s="57"/>
      <c r="P50" s="57"/>
      <c r="Q50" s="57"/>
      <c r="R50" s="42"/>
      <c r="S50" s="846" t="s">
        <v>271</v>
      </c>
      <c r="T50" s="846"/>
      <c r="U50" s="846"/>
      <c r="V50" s="846"/>
      <c r="W50" s="42"/>
    </row>
    <row r="51" spans="2:23" ht="15" customHeight="1">
      <c r="B51" s="850"/>
      <c r="C51" s="5" t="s">
        <v>588</v>
      </c>
      <c r="D51" s="5"/>
      <c r="E51" s="42"/>
      <c r="F51" s="42"/>
      <c r="G51" s="42"/>
      <c r="H51" s="42"/>
      <c r="I51" s="42"/>
      <c r="J51" s="42"/>
      <c r="K51" s="42"/>
      <c r="L51" s="43"/>
      <c r="M51" s="57" t="s">
        <v>272</v>
      </c>
      <c r="N51" s="57"/>
      <c r="O51" s="57"/>
      <c r="P51" s="57"/>
      <c r="Q51" s="57"/>
      <c r="R51" s="453"/>
      <c r="S51" s="846" t="s">
        <v>273</v>
      </c>
      <c r="T51" s="846"/>
      <c r="U51" s="846"/>
      <c r="V51" s="846"/>
      <c r="W51" s="453"/>
    </row>
    <row r="52" spans="2:23" ht="15" customHeight="1">
      <c r="B52" s="850"/>
      <c r="C52" s="5" t="s">
        <v>590</v>
      </c>
      <c r="D52" s="5"/>
      <c r="E52" s="42"/>
      <c r="F52" s="42"/>
      <c r="G52" s="42"/>
      <c r="H52" s="42"/>
      <c r="I52" s="42"/>
      <c r="J52" s="42"/>
      <c r="K52" s="42"/>
      <c r="L52" s="43"/>
      <c r="M52" s="845" t="s">
        <v>274</v>
      </c>
      <c r="N52" s="845"/>
      <c r="O52" s="845"/>
      <c r="P52" s="845"/>
      <c r="Q52" s="845"/>
      <c r="R52" s="453"/>
      <c r="S52" s="846" t="s">
        <v>275</v>
      </c>
      <c r="T52" s="846"/>
      <c r="U52" s="846"/>
      <c r="V52" s="846"/>
      <c r="W52" s="453"/>
    </row>
    <row r="53" spans="2:23" ht="15" customHeight="1">
      <c r="B53" s="850"/>
      <c r="C53" s="5" t="s">
        <v>591</v>
      </c>
      <c r="D53" s="5"/>
      <c r="E53" s="42"/>
      <c r="F53" s="42"/>
      <c r="G53" s="42"/>
      <c r="H53" s="42"/>
      <c r="I53" s="42"/>
      <c r="J53" s="42"/>
      <c r="K53" s="42"/>
      <c r="L53" s="43"/>
    </row>
  </sheetData>
  <sheetProtection sheet="1" objects="1" scenarios="1"/>
  <mergeCells count="151">
    <mergeCell ref="W18:X18"/>
    <mergeCell ref="W19:X19"/>
    <mergeCell ref="W20:X20"/>
    <mergeCell ref="W21:X21"/>
    <mergeCell ref="W22:X22"/>
    <mergeCell ref="W23:X23"/>
    <mergeCell ref="W9:X9"/>
    <mergeCell ref="W10:X10"/>
    <mergeCell ref="W11:X11"/>
    <mergeCell ref="W12:X12"/>
    <mergeCell ref="W13:X13"/>
    <mergeCell ref="W14:X14"/>
    <mergeCell ref="W15:X15"/>
    <mergeCell ref="W16:X16"/>
    <mergeCell ref="W17:X17"/>
    <mergeCell ref="B19:C19"/>
    <mergeCell ref="B18:C18"/>
    <mergeCell ref="G18:H18"/>
    <mergeCell ref="G17:H17"/>
    <mergeCell ref="G16:H16"/>
    <mergeCell ref="R18:S18"/>
    <mergeCell ref="I15:J15"/>
    <mergeCell ref="R16:S16"/>
    <mergeCell ref="I16:J16"/>
    <mergeCell ref="B16:C16"/>
    <mergeCell ref="E16:F16"/>
    <mergeCell ref="B17:C17"/>
    <mergeCell ref="B15:C15"/>
    <mergeCell ref="E15:F15"/>
    <mergeCell ref="R15:S15"/>
    <mergeCell ref="B14:C14"/>
    <mergeCell ref="A4:L4"/>
    <mergeCell ref="N4:W4"/>
    <mergeCell ref="A5:L5"/>
    <mergeCell ref="N5:W5"/>
    <mergeCell ref="E12:F12"/>
    <mergeCell ref="B13:C13"/>
    <mergeCell ref="G9:H9"/>
    <mergeCell ref="R8:S8"/>
    <mergeCell ref="I8:J8"/>
    <mergeCell ref="A7:D8"/>
    <mergeCell ref="R13:S13"/>
    <mergeCell ref="I13:J13"/>
    <mergeCell ref="I12:J12"/>
    <mergeCell ref="U7:V7"/>
    <mergeCell ref="I10:J10"/>
    <mergeCell ref="B12:C12"/>
    <mergeCell ref="E9:F9"/>
    <mergeCell ref="B9:C9"/>
    <mergeCell ref="E7:F8"/>
    <mergeCell ref="B10:C10"/>
    <mergeCell ref="E10:F10"/>
    <mergeCell ref="G10:H10"/>
    <mergeCell ref="O7:P7"/>
    <mergeCell ref="I7:L7"/>
    <mergeCell ref="Q7:T7"/>
    <mergeCell ref="R10:S10"/>
    <mergeCell ref="I11:J11"/>
    <mergeCell ref="R11:S11"/>
    <mergeCell ref="G7:H8"/>
    <mergeCell ref="B11:C11"/>
    <mergeCell ref="E11:F11"/>
    <mergeCell ref="G11:H11"/>
    <mergeCell ref="I9:J9"/>
    <mergeCell ref="R14:S14"/>
    <mergeCell ref="R9:S9"/>
    <mergeCell ref="I14:J14"/>
    <mergeCell ref="E14:F14"/>
    <mergeCell ref="G14:H14"/>
    <mergeCell ref="G15:H15"/>
    <mergeCell ref="E29:H29"/>
    <mergeCell ref="I18:J18"/>
    <mergeCell ref="R17:S17"/>
    <mergeCell ref="I17:J17"/>
    <mergeCell ref="R12:S12"/>
    <mergeCell ref="E19:F19"/>
    <mergeCell ref="G19:H19"/>
    <mergeCell ref="E17:F17"/>
    <mergeCell ref="G12:H12"/>
    <mergeCell ref="E13:F13"/>
    <mergeCell ref="G13:H13"/>
    <mergeCell ref="I19:J19"/>
    <mergeCell ref="R19:S19"/>
    <mergeCell ref="E18:F18"/>
    <mergeCell ref="B26:J26"/>
    <mergeCell ref="R20:S20"/>
    <mergeCell ref="E20:F20"/>
    <mergeCell ref="I20:J20"/>
    <mergeCell ref="B20:C20"/>
    <mergeCell ref="G20:H20"/>
    <mergeCell ref="B24:K24"/>
    <mergeCell ref="I29:L29"/>
    <mergeCell ref="B21:C21"/>
    <mergeCell ref="E23:F23"/>
    <mergeCell ref="B36:C36"/>
    <mergeCell ref="B35:C35"/>
    <mergeCell ref="B31:C31"/>
    <mergeCell ref="B32:C32"/>
    <mergeCell ref="R21:S21"/>
    <mergeCell ref="I22:J22"/>
    <mergeCell ref="R24:S24"/>
    <mergeCell ref="E21:F21"/>
    <mergeCell ref="G21:H21"/>
    <mergeCell ref="I21:J21"/>
    <mergeCell ref="I23:J23"/>
    <mergeCell ref="A29:D30"/>
    <mergeCell ref="B34:C34"/>
    <mergeCell ref="N29:N30"/>
    <mergeCell ref="B23:C23"/>
    <mergeCell ref="E22:F22"/>
    <mergeCell ref="G22:H22"/>
    <mergeCell ref="G23:H23"/>
    <mergeCell ref="B22:C22"/>
    <mergeCell ref="R23:S23"/>
    <mergeCell ref="B33:C33"/>
    <mergeCell ref="B27:K27"/>
    <mergeCell ref="B41:C41"/>
    <mergeCell ref="M52:Q52"/>
    <mergeCell ref="S52:V52"/>
    <mergeCell ref="S49:V49"/>
    <mergeCell ref="S51:V51"/>
    <mergeCell ref="S50:V50"/>
    <mergeCell ref="R22:S22"/>
    <mergeCell ref="B38:C38"/>
    <mergeCell ref="B46:C46"/>
    <mergeCell ref="B39:C39"/>
    <mergeCell ref="B47:C47"/>
    <mergeCell ref="B40:C40"/>
    <mergeCell ref="B45:C45"/>
    <mergeCell ref="B44:C44"/>
    <mergeCell ref="B42:C42"/>
    <mergeCell ref="B43:C43"/>
    <mergeCell ref="B37:C37"/>
    <mergeCell ref="B49:B53"/>
    <mergeCell ref="T29:W29"/>
    <mergeCell ref="R37:S37"/>
    <mergeCell ref="R38:S38"/>
    <mergeCell ref="R39:S39"/>
    <mergeCell ref="R40:S40"/>
    <mergeCell ref="R41:S41"/>
    <mergeCell ref="R43:S43"/>
    <mergeCell ref="R44:S44"/>
    <mergeCell ref="R45:S45"/>
    <mergeCell ref="R30:S30"/>
    <mergeCell ref="O29:S29"/>
    <mergeCell ref="R31:S31"/>
    <mergeCell ref="R32:S32"/>
    <mergeCell ref="R33:S33"/>
    <mergeCell ref="R34:S34"/>
    <mergeCell ref="R35:S35"/>
    <mergeCell ref="R36:S36"/>
  </mergeCells>
  <phoneticPr fontId="17"/>
  <printOptions horizontalCentered="1"/>
  <pageMargins left="0.59055118110236227" right="0.59055118110236227" top="0.59055118110236227" bottom="0.59055118110236227" header="0.39370078740157483" footer="0.39370078740157483"/>
  <pageSetup paperSize="9" scale="99" firstPageNumber="0" orientation="portrait" verticalDpi="300" r:id="rId1"/>
  <headerFooter scaleWithDoc="0" alignWithMargins="0">
    <oddHeader>&amp;L&amp;"ＭＳ 明朝,標準"&amp;10人　口</oddHeader>
    <oddFooter>&amp;C&amp;"ＭＳ 明朝,標準"&amp;12&amp;A</oddFooter>
  </headerFooter>
  <colBreaks count="1" manualBreakCount="1">
    <brk id="1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X53"/>
  <sheetViews>
    <sheetView view="pageBreakPreview" zoomScaleNormal="100" zoomScaleSheetLayoutView="100" workbookViewId="0">
      <pane xSplit="4" topLeftCell="E1" activePane="topRight" state="frozen"/>
      <selection activeCell="A6" sqref="A6"/>
      <selection pane="topRight" activeCell="L21" sqref="A1:L1048576"/>
    </sheetView>
  </sheetViews>
  <sheetFormatPr defaultRowHeight="15" customHeight="1"/>
  <cols>
    <col min="1" max="1" width="1.25" style="35" hidden="1" customWidth="1"/>
    <col min="2" max="2" width="8.375" style="35" hidden="1" customWidth="1"/>
    <col min="3" max="3" width="5" style="35" hidden="1" customWidth="1"/>
    <col min="4" max="4" width="1.25" style="35" hidden="1" customWidth="1"/>
    <col min="5" max="11" width="9.5" style="35" hidden="1" customWidth="1"/>
    <col min="12" max="12" width="9.5" style="36" hidden="1" customWidth="1"/>
    <col min="13" max="13" width="0.875" style="35" customWidth="1"/>
    <col min="14" max="14" width="11.125" style="35" customWidth="1"/>
    <col min="15" max="15" width="9.5" style="35" customWidth="1"/>
    <col min="16" max="16" width="9.625" style="35" customWidth="1"/>
    <col min="17" max="17" width="9.5" style="35" customWidth="1"/>
    <col min="18" max="19" width="4.625" style="35" customWidth="1"/>
    <col min="20" max="22" width="9.875" style="35" customWidth="1"/>
    <col min="23" max="23" width="12.75" style="35" customWidth="1"/>
    <col min="24" max="24" width="15" style="35" customWidth="1"/>
    <col min="25" max="16384" width="9" style="35"/>
  </cols>
  <sheetData>
    <row r="1" spans="1:24" ht="4.5" customHeight="1">
      <c r="A1" s="37"/>
      <c r="B1" s="38"/>
      <c r="C1" s="39"/>
      <c r="D1" s="39"/>
      <c r="E1" s="39"/>
      <c r="F1" s="39"/>
      <c r="G1" s="39"/>
      <c r="H1" s="39"/>
      <c r="I1" s="39"/>
      <c r="J1" s="39"/>
      <c r="K1" s="39"/>
      <c r="L1" s="39"/>
    </row>
    <row r="2" spans="1:24" ht="15" customHeight="1">
      <c r="A2" s="37" t="s">
        <v>609</v>
      </c>
      <c r="B2" s="38"/>
      <c r="C2" s="39"/>
      <c r="D2" s="39"/>
      <c r="E2" s="39"/>
      <c r="F2" s="39"/>
      <c r="G2" s="39"/>
      <c r="H2" s="39"/>
      <c r="I2" s="39"/>
      <c r="J2" s="39"/>
      <c r="K2" s="39"/>
      <c r="L2" s="39"/>
    </row>
    <row r="3" spans="1:24" ht="4.5" customHeight="1">
      <c r="A3" s="37"/>
      <c r="B3" s="38"/>
      <c r="C3" s="39"/>
      <c r="D3" s="39"/>
      <c r="E3" s="39"/>
      <c r="F3" s="39"/>
      <c r="G3" s="39"/>
      <c r="H3" s="39"/>
      <c r="I3" s="39"/>
      <c r="J3" s="39"/>
      <c r="K3" s="39"/>
      <c r="L3" s="39"/>
    </row>
    <row r="4" spans="1:24" s="40" customFormat="1" ht="86.25" customHeight="1">
      <c r="A4" s="881" t="s">
        <v>610</v>
      </c>
      <c r="B4" s="881"/>
      <c r="C4" s="881"/>
      <c r="D4" s="881"/>
      <c r="E4" s="881"/>
      <c r="F4" s="881"/>
      <c r="G4" s="881"/>
      <c r="H4" s="881"/>
      <c r="I4" s="881"/>
      <c r="J4" s="881"/>
      <c r="K4" s="881"/>
      <c r="L4" s="881"/>
      <c r="N4" s="881" t="s">
        <v>653</v>
      </c>
      <c r="O4" s="881"/>
      <c r="P4" s="881"/>
      <c r="Q4" s="881"/>
      <c r="R4" s="881"/>
      <c r="S4" s="881"/>
      <c r="T4" s="881"/>
      <c r="U4" s="881"/>
      <c r="V4" s="881"/>
      <c r="W4" s="881"/>
    </row>
    <row r="5" spans="1:24" ht="10.5" customHeight="1">
      <c r="A5" s="882"/>
      <c r="B5" s="882"/>
      <c r="C5" s="882"/>
      <c r="D5" s="882"/>
      <c r="E5" s="882"/>
      <c r="F5" s="882"/>
      <c r="G5" s="882"/>
      <c r="H5" s="882"/>
      <c r="I5" s="882"/>
      <c r="J5" s="882"/>
      <c r="K5" s="882"/>
      <c r="L5" s="882"/>
      <c r="M5" s="41"/>
      <c r="N5" s="883"/>
      <c r="O5" s="883"/>
      <c r="P5" s="883"/>
      <c r="Q5" s="883"/>
      <c r="R5" s="883"/>
      <c r="S5" s="883"/>
      <c r="T5" s="883"/>
      <c r="U5" s="883"/>
      <c r="V5" s="883"/>
      <c r="W5" s="883"/>
    </row>
    <row r="6" spans="1:24" ht="15" customHeight="1" thickBot="1">
      <c r="B6" s="5" t="s">
        <v>603</v>
      </c>
      <c r="C6" s="5"/>
      <c r="D6" s="5"/>
      <c r="E6" s="42"/>
      <c r="F6" s="42"/>
      <c r="G6" s="42"/>
      <c r="I6" s="42"/>
      <c r="K6" s="42"/>
      <c r="L6" s="43"/>
      <c r="N6" s="5" t="s">
        <v>604</v>
      </c>
    </row>
    <row r="7" spans="1:24" ht="15" customHeight="1">
      <c r="A7" s="858" t="s">
        <v>244</v>
      </c>
      <c r="B7" s="859"/>
      <c r="C7" s="859"/>
      <c r="D7" s="859"/>
      <c r="E7" s="859" t="s">
        <v>245</v>
      </c>
      <c r="F7" s="859"/>
      <c r="G7" s="859" t="s">
        <v>246</v>
      </c>
      <c r="H7" s="859"/>
      <c r="I7" s="859" t="s">
        <v>247</v>
      </c>
      <c r="J7" s="859"/>
      <c r="K7" s="859"/>
      <c r="L7" s="878"/>
      <c r="M7" s="36"/>
      <c r="N7" s="600" t="s">
        <v>248</v>
      </c>
      <c r="O7" s="887" t="s">
        <v>608</v>
      </c>
      <c r="P7" s="888"/>
      <c r="Q7" s="875" t="s">
        <v>249</v>
      </c>
      <c r="R7" s="868"/>
      <c r="S7" s="868"/>
      <c r="T7" s="879"/>
      <c r="U7" s="785" t="s">
        <v>250</v>
      </c>
      <c r="V7" s="886"/>
      <c r="W7" s="498"/>
    </row>
    <row r="8" spans="1:24" ht="15" customHeight="1">
      <c r="A8" s="860"/>
      <c r="B8" s="861"/>
      <c r="C8" s="861"/>
      <c r="D8" s="861"/>
      <c r="E8" s="861"/>
      <c r="F8" s="861"/>
      <c r="G8" s="861"/>
      <c r="H8" s="861"/>
      <c r="I8" s="885" t="s">
        <v>14</v>
      </c>
      <c r="J8" s="885"/>
      <c r="K8" s="496" t="s">
        <v>15</v>
      </c>
      <c r="L8" s="471" t="s">
        <v>16</v>
      </c>
      <c r="M8" s="453"/>
      <c r="N8" s="460" t="s">
        <v>565</v>
      </c>
      <c r="O8" s="493" t="s">
        <v>251</v>
      </c>
      <c r="P8" s="493" t="s">
        <v>252</v>
      </c>
      <c r="Q8" s="499" t="s">
        <v>605</v>
      </c>
      <c r="R8" s="786" t="s">
        <v>606</v>
      </c>
      <c r="S8" s="884"/>
      <c r="T8" s="493" t="s">
        <v>253</v>
      </c>
      <c r="U8" s="566" t="s">
        <v>20</v>
      </c>
      <c r="V8" s="234" t="s">
        <v>607</v>
      </c>
    </row>
    <row r="9" spans="1:24" ht="15" customHeight="1">
      <c r="A9" s="153"/>
      <c r="B9" s="844" t="s">
        <v>240</v>
      </c>
      <c r="C9" s="844"/>
      <c r="D9" s="91"/>
      <c r="E9" s="856">
        <v>2281.12</v>
      </c>
      <c r="F9" s="856"/>
      <c r="G9" s="880">
        <v>560424</v>
      </c>
      <c r="H9" s="880"/>
      <c r="I9" s="880">
        <v>1433566</v>
      </c>
      <c r="J9" s="880"/>
      <c r="K9" s="494">
        <v>704619</v>
      </c>
      <c r="L9" s="472">
        <v>728947</v>
      </c>
      <c r="M9" s="36"/>
      <c r="N9" s="601">
        <v>1392818</v>
      </c>
      <c r="O9" s="250">
        <f>I9-N9</f>
        <v>40748</v>
      </c>
      <c r="P9" s="251">
        <f>O9/N9*100</f>
        <v>2.9255796521871487</v>
      </c>
      <c r="Q9" s="45">
        <v>1000</v>
      </c>
      <c r="R9" s="873">
        <f>(I9/$I$9)*1000</f>
        <v>1000</v>
      </c>
      <c r="S9" s="873"/>
      <c r="T9" s="258">
        <v>0</v>
      </c>
      <c r="U9" s="514">
        <v>611.9</v>
      </c>
      <c r="V9" s="262">
        <v>628.4</v>
      </c>
      <c r="W9" s="891"/>
      <c r="X9" s="844"/>
    </row>
    <row r="10" spans="1:24" ht="15" customHeight="1">
      <c r="A10" s="153"/>
      <c r="B10" s="844" t="s">
        <v>200</v>
      </c>
      <c r="C10" s="844"/>
      <c r="D10" s="91"/>
      <c r="E10" s="856">
        <v>39.57</v>
      </c>
      <c r="F10" s="856"/>
      <c r="G10" s="854">
        <v>135532</v>
      </c>
      <c r="H10" s="854"/>
      <c r="I10" s="854">
        <v>319435</v>
      </c>
      <c r="J10" s="854"/>
      <c r="K10" s="494">
        <v>154685</v>
      </c>
      <c r="L10" s="472">
        <v>164750</v>
      </c>
      <c r="M10" s="36"/>
      <c r="N10" s="602">
        <v>315954</v>
      </c>
      <c r="O10" s="252">
        <f t="shared" ref="O10:O23" si="0">I10-N10</f>
        <v>3481</v>
      </c>
      <c r="P10" s="253">
        <f t="shared" ref="P10:P23" si="1">O10/N10*100</f>
        <v>1.1017426587414625</v>
      </c>
      <c r="Q10" s="46">
        <v>226.8</v>
      </c>
      <c r="R10" s="847">
        <f>(I10/$I$9)*1000</f>
        <v>222.82545763501645</v>
      </c>
      <c r="S10" s="847"/>
      <c r="T10" s="259">
        <f>R10-Q10</f>
        <v>-3.9745423649835629</v>
      </c>
      <c r="U10" s="515">
        <v>8051.8</v>
      </c>
      <c r="V10" s="263">
        <v>8072.7</v>
      </c>
      <c r="W10" s="891"/>
      <c r="X10" s="844"/>
    </row>
    <row r="11" spans="1:24" ht="15" customHeight="1">
      <c r="A11" s="153"/>
      <c r="B11" s="844" t="s">
        <v>202</v>
      </c>
      <c r="C11" s="844"/>
      <c r="D11" s="91"/>
      <c r="E11" s="856">
        <v>87.01</v>
      </c>
      <c r="F11" s="856"/>
      <c r="G11" s="854">
        <v>42378</v>
      </c>
      <c r="H11" s="854"/>
      <c r="I11" s="854">
        <v>118898</v>
      </c>
      <c r="J11" s="854"/>
      <c r="K11" s="494">
        <v>59409</v>
      </c>
      <c r="L11" s="472">
        <v>59489</v>
      </c>
      <c r="M11" s="36"/>
      <c r="N11" s="602">
        <v>116979</v>
      </c>
      <c r="O11" s="252">
        <f t="shared" si="0"/>
        <v>1919</v>
      </c>
      <c r="P11" s="253">
        <f t="shared" si="1"/>
        <v>1.6404653826755229</v>
      </c>
      <c r="Q11" s="46">
        <v>84</v>
      </c>
      <c r="R11" s="847">
        <f t="shared" ref="R11:R23" si="2">(I11/$I$9)*1000</f>
        <v>82.938629961927106</v>
      </c>
      <c r="S11" s="847"/>
      <c r="T11" s="259">
        <f>R11-Q11</f>
        <v>-1.0613700380728943</v>
      </c>
      <c r="U11" s="515">
        <v>1359</v>
      </c>
      <c r="V11" s="263">
        <v>1366.5</v>
      </c>
      <c r="W11" s="891"/>
      <c r="X11" s="844"/>
    </row>
    <row r="12" spans="1:24" ht="15" customHeight="1">
      <c r="A12" s="153"/>
      <c r="B12" s="844" t="s">
        <v>206</v>
      </c>
      <c r="C12" s="844"/>
      <c r="D12" s="91"/>
      <c r="E12" s="856">
        <v>19.8</v>
      </c>
      <c r="F12" s="856"/>
      <c r="G12" s="854">
        <v>39333</v>
      </c>
      <c r="H12" s="854"/>
      <c r="I12" s="854">
        <v>96243</v>
      </c>
      <c r="J12" s="854"/>
      <c r="K12" s="494">
        <v>47022</v>
      </c>
      <c r="L12" s="472">
        <v>49221</v>
      </c>
      <c r="M12" s="36"/>
      <c r="N12" s="602">
        <v>91928</v>
      </c>
      <c r="O12" s="252">
        <f>I12-N12</f>
        <v>4315</v>
      </c>
      <c r="P12" s="253">
        <f t="shared" si="1"/>
        <v>4.6938908711165261</v>
      </c>
      <c r="Q12" s="46">
        <v>66</v>
      </c>
      <c r="R12" s="847">
        <f t="shared" si="2"/>
        <v>67.135381279968968</v>
      </c>
      <c r="S12" s="847"/>
      <c r="T12" s="259">
        <f t="shared" ref="T12:T22" si="3">R12-Q12</f>
        <v>1.1353812799689678</v>
      </c>
      <c r="U12" s="515">
        <v>4666.3999999999996</v>
      </c>
      <c r="V12" s="263">
        <v>4860.8</v>
      </c>
      <c r="W12" s="891"/>
      <c r="X12" s="844"/>
    </row>
    <row r="13" spans="1:24" ht="15" customHeight="1">
      <c r="A13" s="153"/>
      <c r="B13" s="844" t="s">
        <v>204</v>
      </c>
      <c r="C13" s="844"/>
      <c r="D13" s="91"/>
      <c r="E13" s="856">
        <v>204.2</v>
      </c>
      <c r="F13" s="856"/>
      <c r="G13" s="854">
        <v>21977</v>
      </c>
      <c r="H13" s="854"/>
      <c r="I13" s="854">
        <v>51186</v>
      </c>
      <c r="J13" s="854"/>
      <c r="K13" s="494">
        <v>25131</v>
      </c>
      <c r="L13" s="472">
        <v>26055</v>
      </c>
      <c r="M13" s="36"/>
      <c r="N13" s="602">
        <v>52039</v>
      </c>
      <c r="O13" s="254">
        <f t="shared" si="0"/>
        <v>-853</v>
      </c>
      <c r="P13" s="255">
        <f t="shared" si="1"/>
        <v>-1.6391552489479044</v>
      </c>
      <c r="Q13" s="46">
        <v>37.4</v>
      </c>
      <c r="R13" s="847">
        <f t="shared" si="2"/>
        <v>35.70536689625731</v>
      </c>
      <c r="S13" s="847"/>
      <c r="T13" s="259">
        <f t="shared" si="3"/>
        <v>-1.6946331037426887</v>
      </c>
      <c r="U13" s="515">
        <v>254.4</v>
      </c>
      <c r="V13" s="263">
        <v>250.7</v>
      </c>
      <c r="W13" s="891"/>
      <c r="X13" s="844"/>
    </row>
    <row r="14" spans="1:24" ht="15" customHeight="1">
      <c r="A14" s="153"/>
      <c r="B14" s="844" t="s">
        <v>210</v>
      </c>
      <c r="C14" s="844"/>
      <c r="D14" s="91"/>
      <c r="E14" s="856">
        <v>229.34</v>
      </c>
      <c r="F14" s="856"/>
      <c r="G14" s="854">
        <v>20514</v>
      </c>
      <c r="H14" s="854"/>
      <c r="I14" s="854">
        <v>47564</v>
      </c>
      <c r="J14" s="854"/>
      <c r="K14" s="494">
        <v>23659</v>
      </c>
      <c r="L14" s="472">
        <v>23905</v>
      </c>
      <c r="M14" s="36"/>
      <c r="N14" s="602">
        <v>46922</v>
      </c>
      <c r="O14" s="252">
        <f t="shared" si="0"/>
        <v>642</v>
      </c>
      <c r="P14" s="253">
        <f t="shared" si="1"/>
        <v>1.3682281232684028</v>
      </c>
      <c r="Q14" s="46">
        <v>33.700000000000003</v>
      </c>
      <c r="R14" s="847">
        <f t="shared" si="2"/>
        <v>33.178800278466426</v>
      </c>
      <c r="S14" s="847"/>
      <c r="T14" s="259">
        <f t="shared" si="3"/>
        <v>-0.52119972153357708</v>
      </c>
      <c r="U14" s="515">
        <v>204.9</v>
      </c>
      <c r="V14" s="263">
        <v>207.4</v>
      </c>
      <c r="W14" s="891"/>
      <c r="X14" s="844"/>
    </row>
    <row r="15" spans="1:24" ht="15" customHeight="1">
      <c r="A15" s="153"/>
      <c r="B15" s="849" t="s">
        <v>254</v>
      </c>
      <c r="C15" s="849"/>
      <c r="D15" s="469"/>
      <c r="E15" s="889">
        <v>19.48</v>
      </c>
      <c r="F15" s="889"/>
      <c r="G15" s="874">
        <v>44041</v>
      </c>
      <c r="H15" s="874"/>
      <c r="I15" s="874">
        <v>114232</v>
      </c>
      <c r="J15" s="874"/>
      <c r="K15" s="495">
        <v>55471</v>
      </c>
      <c r="L15" s="473">
        <v>58761</v>
      </c>
      <c r="M15" s="36"/>
      <c r="N15" s="603">
        <v>110351</v>
      </c>
      <c r="O15" s="256">
        <f t="shared" si="0"/>
        <v>3881</v>
      </c>
      <c r="P15" s="403">
        <f t="shared" si="1"/>
        <v>3.5169595200768455</v>
      </c>
      <c r="Q15" s="49">
        <v>79.2</v>
      </c>
      <c r="R15" s="890">
        <f>(I15/$I$9)*1000</f>
        <v>79.683809465347252</v>
      </c>
      <c r="S15" s="890"/>
      <c r="T15" s="260">
        <f>R15-Q15</f>
        <v>0.48380946534724956</v>
      </c>
      <c r="U15" s="516">
        <v>5780.6</v>
      </c>
      <c r="V15" s="264">
        <v>5864.1</v>
      </c>
      <c r="W15" s="892"/>
      <c r="X15" s="849"/>
    </row>
    <row r="16" spans="1:24" ht="15" customHeight="1">
      <c r="A16" s="153"/>
      <c r="B16" s="844" t="s">
        <v>212</v>
      </c>
      <c r="C16" s="844"/>
      <c r="D16" s="91"/>
      <c r="E16" s="856">
        <v>210.9</v>
      </c>
      <c r="F16" s="856"/>
      <c r="G16" s="854">
        <v>26142</v>
      </c>
      <c r="H16" s="854"/>
      <c r="I16" s="854">
        <v>61674</v>
      </c>
      <c r="J16" s="854"/>
      <c r="K16" s="494">
        <v>30626</v>
      </c>
      <c r="L16" s="472">
        <v>31048</v>
      </c>
      <c r="M16" s="36"/>
      <c r="N16" s="602">
        <v>60231</v>
      </c>
      <c r="O16" s="252">
        <f t="shared" si="0"/>
        <v>1443</v>
      </c>
      <c r="P16" s="253">
        <f t="shared" si="1"/>
        <v>2.3957762613936349</v>
      </c>
      <c r="Q16" s="46">
        <v>43.2</v>
      </c>
      <c r="R16" s="847">
        <f t="shared" si="2"/>
        <v>43.021388621102901</v>
      </c>
      <c r="S16" s="847"/>
      <c r="T16" s="259">
        <f t="shared" si="3"/>
        <v>-0.17861137889710221</v>
      </c>
      <c r="U16" s="515">
        <v>286.3</v>
      </c>
      <c r="V16" s="263">
        <v>292.39999999999998</v>
      </c>
      <c r="W16" s="891"/>
      <c r="X16" s="844"/>
    </row>
    <row r="17" spans="1:24" ht="15" customHeight="1">
      <c r="A17" s="153"/>
      <c r="B17" s="844" t="s">
        <v>214</v>
      </c>
      <c r="C17" s="844"/>
      <c r="D17" s="91"/>
      <c r="E17" s="856">
        <v>46.62</v>
      </c>
      <c r="F17" s="856"/>
      <c r="G17" s="854">
        <v>20647</v>
      </c>
      <c r="H17" s="854"/>
      <c r="I17" s="854">
        <v>58547</v>
      </c>
      <c r="J17" s="854"/>
      <c r="K17" s="494">
        <v>29333</v>
      </c>
      <c r="L17" s="472">
        <v>29214</v>
      </c>
      <c r="M17" s="36"/>
      <c r="N17" s="602">
        <v>57320</v>
      </c>
      <c r="O17" s="252">
        <f t="shared" si="0"/>
        <v>1227</v>
      </c>
      <c r="P17" s="253">
        <f t="shared" si="1"/>
        <v>2.1406140963014653</v>
      </c>
      <c r="Q17" s="46">
        <v>41.2</v>
      </c>
      <c r="R17" s="847">
        <f t="shared" si="2"/>
        <v>40.840114790668864</v>
      </c>
      <c r="S17" s="847"/>
      <c r="T17" s="259">
        <f t="shared" si="3"/>
        <v>-0.35988520933113932</v>
      </c>
      <c r="U17" s="515">
        <v>1229.3</v>
      </c>
      <c r="V17" s="263">
        <v>1255.8</v>
      </c>
      <c r="W17" s="891"/>
      <c r="X17" s="844"/>
    </row>
    <row r="18" spans="1:24" ht="15" customHeight="1">
      <c r="A18" s="153"/>
      <c r="B18" s="844" t="s">
        <v>216</v>
      </c>
      <c r="C18" s="844"/>
      <c r="D18" s="91"/>
      <c r="E18" s="856">
        <v>49.72</v>
      </c>
      <c r="F18" s="856"/>
      <c r="G18" s="854">
        <v>53325</v>
      </c>
      <c r="H18" s="854"/>
      <c r="I18" s="854">
        <v>139279</v>
      </c>
      <c r="J18" s="854"/>
      <c r="K18" s="494">
        <v>67522</v>
      </c>
      <c r="L18" s="472">
        <v>71757</v>
      </c>
      <c r="M18" s="36"/>
      <c r="N18" s="602">
        <v>130249</v>
      </c>
      <c r="O18" s="252">
        <f t="shared" si="0"/>
        <v>9030</v>
      </c>
      <c r="P18" s="253">
        <f t="shared" si="1"/>
        <v>6.932874724566024</v>
      </c>
      <c r="Q18" s="46">
        <v>93.5</v>
      </c>
      <c r="R18" s="847">
        <f>(I18/$I$9)*1000</f>
        <v>97.155624505603512</v>
      </c>
      <c r="S18" s="847"/>
      <c r="T18" s="259">
        <f t="shared" si="3"/>
        <v>3.6556245056035124</v>
      </c>
      <c r="U18" s="515">
        <v>2658.1</v>
      </c>
      <c r="V18" s="263">
        <v>2801.3</v>
      </c>
      <c r="W18" s="891"/>
      <c r="X18" s="844"/>
    </row>
    <row r="19" spans="1:24" ht="15" customHeight="1">
      <c r="A19" s="153"/>
      <c r="B19" s="844" t="s">
        <v>218</v>
      </c>
      <c r="C19" s="844"/>
      <c r="D19" s="91"/>
      <c r="E19" s="856">
        <v>19.600000000000001</v>
      </c>
      <c r="F19" s="856"/>
      <c r="G19" s="854">
        <v>21780</v>
      </c>
      <c r="H19" s="854"/>
      <c r="I19" s="854">
        <v>61119</v>
      </c>
      <c r="J19" s="854"/>
      <c r="K19" s="494">
        <v>29761</v>
      </c>
      <c r="L19" s="472">
        <v>31358</v>
      </c>
      <c r="M19" s="36"/>
      <c r="N19" s="602">
        <v>57261</v>
      </c>
      <c r="O19" s="252">
        <f>I19-N19</f>
        <v>3858</v>
      </c>
      <c r="P19" s="253">
        <f t="shared" si="1"/>
        <v>6.737570073872269</v>
      </c>
      <c r="Q19" s="46">
        <v>41.1</v>
      </c>
      <c r="R19" s="847">
        <f t="shared" si="2"/>
        <v>42.634242162551288</v>
      </c>
      <c r="S19" s="847"/>
      <c r="T19" s="259">
        <f t="shared" si="3"/>
        <v>1.534242162551287</v>
      </c>
      <c r="U19" s="515">
        <v>2944</v>
      </c>
      <c r="V19" s="263">
        <v>3118.3</v>
      </c>
      <c r="W19" s="891"/>
      <c r="X19" s="844"/>
    </row>
    <row r="20" spans="1:24" ht="15" customHeight="1">
      <c r="A20" s="153"/>
      <c r="B20" s="844" t="s">
        <v>474</v>
      </c>
      <c r="C20" s="844"/>
      <c r="D20" s="91"/>
      <c r="E20" s="876">
        <v>49.94</v>
      </c>
      <c r="F20" s="877"/>
      <c r="G20" s="865">
        <v>14295</v>
      </c>
      <c r="H20" s="865"/>
      <c r="I20" s="854">
        <v>42016</v>
      </c>
      <c r="J20" s="854"/>
      <c r="K20" s="494">
        <v>21194</v>
      </c>
      <c r="L20" s="472">
        <v>20822</v>
      </c>
      <c r="M20" s="36"/>
      <c r="N20" s="604">
        <v>39758</v>
      </c>
      <c r="O20" s="252">
        <f>I20-N20</f>
        <v>2258</v>
      </c>
      <c r="P20" s="253">
        <f t="shared" si="1"/>
        <v>5.6793601287791136</v>
      </c>
      <c r="Q20" s="513">
        <v>28.5</v>
      </c>
      <c r="R20" s="847">
        <f t="shared" si="2"/>
        <v>29.308730815323468</v>
      </c>
      <c r="S20" s="847"/>
      <c r="T20" s="259">
        <f>R20-Q20</f>
        <v>0.80873081532346802</v>
      </c>
      <c r="U20" s="501">
        <v>798.8</v>
      </c>
      <c r="V20" s="502">
        <v>841.3</v>
      </c>
      <c r="W20" s="891"/>
      <c r="X20" s="844"/>
    </row>
    <row r="21" spans="1:24" ht="15" customHeight="1">
      <c r="A21" s="153"/>
      <c r="B21" s="844" t="s">
        <v>198</v>
      </c>
      <c r="C21" s="844"/>
      <c r="D21" s="91"/>
      <c r="E21" s="856">
        <v>15.9</v>
      </c>
      <c r="F21" s="856"/>
      <c r="G21" s="854">
        <v>12641</v>
      </c>
      <c r="H21" s="854"/>
      <c r="I21" s="854">
        <v>34508</v>
      </c>
      <c r="J21" s="854"/>
      <c r="K21" s="494">
        <v>17280</v>
      </c>
      <c r="L21" s="472">
        <v>17228</v>
      </c>
      <c r="M21" s="36"/>
      <c r="N21" s="602">
        <v>34766</v>
      </c>
      <c r="O21" s="615">
        <f t="shared" si="0"/>
        <v>-258</v>
      </c>
      <c r="P21" s="255">
        <f>O21/N21*100</f>
        <v>-0.74210435482943105</v>
      </c>
      <c r="Q21" s="46">
        <v>25</v>
      </c>
      <c r="R21" s="847">
        <f t="shared" si="2"/>
        <v>24.071441426484725</v>
      </c>
      <c r="S21" s="847"/>
      <c r="T21" s="259">
        <f t="shared" si="3"/>
        <v>-0.92855857351527504</v>
      </c>
      <c r="U21" s="515">
        <v>2194.8000000000002</v>
      </c>
      <c r="V21" s="263">
        <v>2170.3000000000002</v>
      </c>
      <c r="W21" s="891"/>
      <c r="X21" s="844"/>
    </row>
    <row r="22" spans="1:24" ht="15" customHeight="1">
      <c r="A22" s="153"/>
      <c r="B22" s="844" t="s">
        <v>473</v>
      </c>
      <c r="C22" s="844"/>
      <c r="D22" s="91"/>
      <c r="E22" s="856">
        <v>5.18</v>
      </c>
      <c r="F22" s="856"/>
      <c r="G22" s="854">
        <v>7003</v>
      </c>
      <c r="H22" s="854"/>
      <c r="I22" s="854">
        <v>18410</v>
      </c>
      <c r="J22" s="854"/>
      <c r="K22" s="494">
        <v>8832</v>
      </c>
      <c r="L22" s="472">
        <v>9578</v>
      </c>
      <c r="M22" s="36"/>
      <c r="N22" s="602">
        <v>16318</v>
      </c>
      <c r="O22" s="252">
        <f t="shared" si="0"/>
        <v>2092</v>
      </c>
      <c r="P22" s="253">
        <f t="shared" si="1"/>
        <v>12.82019855374433</v>
      </c>
      <c r="Q22" s="46">
        <v>11.7</v>
      </c>
      <c r="R22" s="847">
        <f t="shared" si="2"/>
        <v>12.842101444928241</v>
      </c>
      <c r="S22" s="847"/>
      <c r="T22" s="259">
        <f t="shared" si="3"/>
        <v>1.1421014449282421</v>
      </c>
      <c r="U22" s="515">
        <v>3212.2</v>
      </c>
      <c r="V22" s="263">
        <v>3554.1</v>
      </c>
      <c r="W22" s="891"/>
      <c r="X22" s="844"/>
    </row>
    <row r="23" spans="1:24" ht="15" customHeight="1" thickBot="1">
      <c r="A23" s="155"/>
      <c r="B23" s="848" t="s">
        <v>203</v>
      </c>
      <c r="C23" s="848"/>
      <c r="D23" s="470"/>
      <c r="E23" s="870">
        <v>10.76</v>
      </c>
      <c r="F23" s="870"/>
      <c r="G23" s="857">
        <v>12763</v>
      </c>
      <c r="H23" s="857"/>
      <c r="I23" s="857">
        <v>37502</v>
      </c>
      <c r="J23" s="857"/>
      <c r="K23" s="497">
        <v>18429</v>
      </c>
      <c r="L23" s="474">
        <v>19073</v>
      </c>
      <c r="M23" s="36"/>
      <c r="N23" s="605">
        <v>35244</v>
      </c>
      <c r="O23" s="257">
        <f t="shared" si="0"/>
        <v>2258</v>
      </c>
      <c r="P23" s="255">
        <f t="shared" si="1"/>
        <v>6.4067642719328122</v>
      </c>
      <c r="Q23" s="161">
        <v>25.3</v>
      </c>
      <c r="R23" s="847">
        <f t="shared" si="2"/>
        <v>26.159939619103689</v>
      </c>
      <c r="S23" s="847"/>
      <c r="T23" s="261">
        <f>R23-Q23</f>
        <v>0.8599396191036881</v>
      </c>
      <c r="U23" s="517">
        <v>3287.7</v>
      </c>
      <c r="V23" s="265">
        <v>3485.3</v>
      </c>
      <c r="W23" s="891"/>
      <c r="X23" s="844"/>
    </row>
    <row r="24" spans="1:24" ht="15" customHeight="1">
      <c r="B24" s="866" t="s">
        <v>584</v>
      </c>
      <c r="C24" s="866"/>
      <c r="D24" s="866"/>
      <c r="E24" s="866"/>
      <c r="F24" s="866"/>
      <c r="G24" s="866"/>
      <c r="H24" s="866"/>
      <c r="I24" s="866"/>
      <c r="J24" s="866"/>
      <c r="K24" s="866"/>
      <c r="L24" s="43"/>
      <c r="M24" s="36"/>
      <c r="N24" s="42"/>
      <c r="O24" s="42"/>
      <c r="P24" s="247"/>
      <c r="Q24" s="42"/>
      <c r="R24" s="855"/>
      <c r="S24" s="855"/>
      <c r="T24" s="42"/>
      <c r="U24" s="7"/>
      <c r="V24" s="7" t="s">
        <v>602</v>
      </c>
      <c r="W24" s="7"/>
    </row>
    <row r="25" spans="1:24" ht="15" customHeight="1">
      <c r="B25" s="5" t="s">
        <v>656</v>
      </c>
      <c r="C25" s="5"/>
      <c r="D25" s="5"/>
      <c r="E25" s="5"/>
      <c r="F25" s="5"/>
      <c r="G25" s="5"/>
      <c r="H25" s="5"/>
      <c r="I25" s="5"/>
      <c r="J25" s="5"/>
      <c r="K25" s="42"/>
      <c r="L25" s="43"/>
      <c r="M25" s="5"/>
      <c r="N25" s="42"/>
      <c r="O25" s="42"/>
      <c r="P25" s="42"/>
      <c r="Q25" s="42"/>
      <c r="R25" s="42"/>
      <c r="S25" s="42"/>
      <c r="T25" s="42"/>
      <c r="U25" s="42"/>
      <c r="V25" s="42"/>
      <c r="W25" s="7"/>
    </row>
    <row r="26" spans="1:24" ht="15" customHeight="1">
      <c r="B26" s="864" t="s">
        <v>657</v>
      </c>
      <c r="C26" s="864"/>
      <c r="D26" s="864"/>
      <c r="E26" s="864"/>
      <c r="F26" s="864"/>
      <c r="G26" s="864"/>
      <c r="H26" s="864"/>
      <c r="I26" s="864"/>
      <c r="J26" s="864"/>
      <c r="K26" s="5"/>
      <c r="L26" s="43"/>
      <c r="M26" s="5"/>
      <c r="N26" s="42"/>
      <c r="O26" s="42"/>
      <c r="P26" s="42"/>
      <c r="Q26" s="42"/>
      <c r="R26" s="42"/>
      <c r="S26" s="42"/>
      <c r="T26" s="42"/>
      <c r="U26" s="42"/>
      <c r="V26" s="42"/>
      <c r="W26" s="42"/>
    </row>
    <row r="27" spans="1:24" ht="11.25" customHeight="1">
      <c r="B27" s="864"/>
      <c r="C27" s="864"/>
      <c r="D27" s="864"/>
      <c r="E27" s="864"/>
      <c r="F27" s="864"/>
      <c r="G27" s="864"/>
      <c r="H27" s="864"/>
      <c r="I27" s="864"/>
      <c r="J27" s="864"/>
      <c r="K27" s="864"/>
      <c r="L27" s="43"/>
      <c r="M27" s="5"/>
      <c r="N27" s="42"/>
      <c r="O27" s="42"/>
      <c r="P27" s="42"/>
      <c r="Q27" s="42"/>
      <c r="R27" s="42"/>
      <c r="S27" s="42"/>
      <c r="T27" s="42"/>
      <c r="U27" s="42"/>
      <c r="V27" s="42"/>
      <c r="W27" s="42"/>
    </row>
    <row r="28" spans="1:24" ht="15" customHeight="1" thickBot="1">
      <c r="B28" s="5" t="s">
        <v>255</v>
      </c>
      <c r="C28" s="5"/>
      <c r="D28" s="5"/>
      <c r="E28" s="42"/>
      <c r="F28" s="42"/>
      <c r="G28" s="42"/>
      <c r="H28" s="42"/>
      <c r="I28" s="42"/>
      <c r="J28" s="42"/>
      <c r="K28" s="42"/>
      <c r="L28" s="43"/>
      <c r="M28" s="5"/>
      <c r="N28" s="5" t="s">
        <v>256</v>
      </c>
      <c r="O28" s="42"/>
      <c r="P28" s="42"/>
      <c r="Q28" s="42"/>
      <c r="R28" s="42"/>
      <c r="S28" s="42"/>
      <c r="T28" s="42"/>
      <c r="U28" s="42"/>
      <c r="V28" s="42"/>
      <c r="W28" s="42"/>
    </row>
    <row r="29" spans="1:24" ht="15" customHeight="1">
      <c r="A29" s="858" t="s">
        <v>244</v>
      </c>
      <c r="B29" s="859"/>
      <c r="C29" s="859"/>
      <c r="D29" s="859"/>
      <c r="E29" s="859" t="s">
        <v>257</v>
      </c>
      <c r="F29" s="859"/>
      <c r="G29" s="859"/>
      <c r="H29" s="875"/>
      <c r="I29" s="867" t="s">
        <v>258</v>
      </c>
      <c r="J29" s="868"/>
      <c r="K29" s="868"/>
      <c r="L29" s="869"/>
      <c r="M29" s="453"/>
      <c r="N29" s="862" t="s">
        <v>195</v>
      </c>
      <c r="O29" s="840" t="s">
        <v>259</v>
      </c>
      <c r="P29" s="841"/>
      <c r="Q29" s="841"/>
      <c r="R29" s="841"/>
      <c r="S29" s="842"/>
      <c r="T29" s="851" t="s">
        <v>582</v>
      </c>
      <c r="U29" s="841"/>
      <c r="V29" s="841"/>
      <c r="W29" s="852"/>
      <c r="X29" s="453"/>
    </row>
    <row r="30" spans="1:24" ht="15" customHeight="1">
      <c r="A30" s="860"/>
      <c r="B30" s="861"/>
      <c r="C30" s="861"/>
      <c r="D30" s="861"/>
      <c r="E30" s="499" t="s">
        <v>176</v>
      </c>
      <c r="F30" s="499" t="s">
        <v>179</v>
      </c>
      <c r="G30" s="499" t="s">
        <v>182</v>
      </c>
      <c r="H30" s="499" t="s">
        <v>260</v>
      </c>
      <c r="I30" s="460" t="s">
        <v>176</v>
      </c>
      <c r="J30" s="496" t="s">
        <v>179</v>
      </c>
      <c r="K30" s="496" t="s">
        <v>182</v>
      </c>
      <c r="L30" s="152" t="s">
        <v>260</v>
      </c>
      <c r="M30" s="453"/>
      <c r="N30" s="863"/>
      <c r="O30" s="496" t="s">
        <v>176</v>
      </c>
      <c r="P30" s="496" t="s">
        <v>179</v>
      </c>
      <c r="Q30" s="496" t="s">
        <v>182</v>
      </c>
      <c r="R30" s="838" t="s">
        <v>260</v>
      </c>
      <c r="S30" s="839"/>
      <c r="T30" s="496" t="s">
        <v>176</v>
      </c>
      <c r="U30" s="496" t="s">
        <v>179</v>
      </c>
      <c r="V30" s="496" t="s">
        <v>182</v>
      </c>
      <c r="W30" s="484" t="s">
        <v>260</v>
      </c>
      <c r="X30" s="500"/>
    </row>
    <row r="31" spans="1:24" ht="15" customHeight="1">
      <c r="A31" s="153"/>
      <c r="B31" s="872" t="s">
        <v>240</v>
      </c>
      <c r="C31" s="872"/>
      <c r="D31" s="488"/>
      <c r="E31" s="51">
        <f t="shared" ref="E31:E47" si="4">F31+G31</f>
        <v>44780</v>
      </c>
      <c r="F31" s="52">
        <v>46455</v>
      </c>
      <c r="G31" s="53">
        <v>-1675</v>
      </c>
      <c r="H31" s="165" t="s">
        <v>261</v>
      </c>
      <c r="I31" s="52">
        <f t="shared" ref="I31:I47" si="5">+J31+K31</f>
        <v>43374</v>
      </c>
      <c r="J31" s="52">
        <v>41051</v>
      </c>
      <c r="K31" s="53">
        <v>2323</v>
      </c>
      <c r="L31" s="172" t="s">
        <v>262</v>
      </c>
      <c r="M31" s="453"/>
      <c r="N31" s="504" t="s">
        <v>240</v>
      </c>
      <c r="O31" s="326">
        <v>31224</v>
      </c>
      <c r="P31" s="254">
        <v>35842</v>
      </c>
      <c r="Q31" s="269">
        <f>+O31-P31</f>
        <v>-4618</v>
      </c>
      <c r="R31" s="843" t="s">
        <v>2</v>
      </c>
      <c r="S31" s="843"/>
      <c r="T31" s="326">
        <f t="shared" ref="T31:T45" si="6">I9-N9</f>
        <v>40748</v>
      </c>
      <c r="U31" s="254">
        <v>30326</v>
      </c>
      <c r="V31" s="269">
        <f>+T31-U31</f>
        <v>10422</v>
      </c>
      <c r="W31" s="485" t="s">
        <v>4</v>
      </c>
      <c r="X31" s="492"/>
    </row>
    <row r="32" spans="1:24" ht="15" customHeight="1">
      <c r="A32" s="153"/>
      <c r="B32" s="844" t="s">
        <v>200</v>
      </c>
      <c r="C32" s="844"/>
      <c r="D32" s="489"/>
      <c r="E32" s="47">
        <f t="shared" si="4"/>
        <v>-858</v>
      </c>
      <c r="F32" s="53">
        <v>8797</v>
      </c>
      <c r="G32" s="53">
        <v>-9655</v>
      </c>
      <c r="H32" s="165" t="s">
        <v>450</v>
      </c>
      <c r="I32" s="53">
        <f t="shared" si="5"/>
        <v>11361</v>
      </c>
      <c r="J32" s="53">
        <v>7680</v>
      </c>
      <c r="K32" s="53">
        <v>3681</v>
      </c>
      <c r="L32" s="481" t="s">
        <v>262</v>
      </c>
      <c r="M32" s="453"/>
      <c r="N32" s="503" t="s">
        <v>200</v>
      </c>
      <c r="O32" s="254">
        <v>3561</v>
      </c>
      <c r="P32" s="254">
        <v>6363</v>
      </c>
      <c r="Q32" s="269">
        <f>+O32-P32</f>
        <v>-2802</v>
      </c>
      <c r="R32" s="780" t="s">
        <v>576</v>
      </c>
      <c r="S32" s="780"/>
      <c r="T32" s="254">
        <f t="shared" si="6"/>
        <v>3481</v>
      </c>
      <c r="U32" s="254">
        <v>4803</v>
      </c>
      <c r="V32" s="269">
        <f>+T32-U32</f>
        <v>-1322</v>
      </c>
      <c r="W32" s="486" t="s">
        <v>576</v>
      </c>
      <c r="X32" s="492"/>
    </row>
    <row r="33" spans="1:24" ht="15" customHeight="1">
      <c r="A33" s="153"/>
      <c r="B33" s="844" t="s">
        <v>585</v>
      </c>
      <c r="C33" s="844"/>
      <c r="D33" s="489"/>
      <c r="E33" s="267" t="s">
        <v>457</v>
      </c>
      <c r="F33" s="267" t="s">
        <v>457</v>
      </c>
      <c r="G33" s="267" t="s">
        <v>457</v>
      </c>
      <c r="H33" s="267" t="s">
        <v>457</v>
      </c>
      <c r="I33" s="53">
        <f t="shared" si="5"/>
        <v>3543</v>
      </c>
      <c r="J33" s="53">
        <v>3229</v>
      </c>
      <c r="K33" s="53">
        <v>314</v>
      </c>
      <c r="L33" s="481" t="s">
        <v>262</v>
      </c>
      <c r="M33" s="453"/>
      <c r="N33" s="503" t="s">
        <v>202</v>
      </c>
      <c r="O33" s="254">
        <v>3444</v>
      </c>
      <c r="P33" s="254">
        <v>2563</v>
      </c>
      <c r="Q33" s="254">
        <f>+O33-P33</f>
        <v>881</v>
      </c>
      <c r="R33" s="780" t="s">
        <v>4</v>
      </c>
      <c r="S33" s="780"/>
      <c r="T33" s="254">
        <f t="shared" si="6"/>
        <v>1919</v>
      </c>
      <c r="U33" s="254">
        <v>1926</v>
      </c>
      <c r="V33" s="254">
        <f>+T33-U33</f>
        <v>-7</v>
      </c>
      <c r="W33" s="486" t="s">
        <v>576</v>
      </c>
      <c r="X33" s="492"/>
    </row>
    <row r="34" spans="1:24" ht="15" customHeight="1">
      <c r="A34" s="153"/>
      <c r="B34" s="844" t="s">
        <v>594</v>
      </c>
      <c r="C34" s="844"/>
      <c r="D34" s="489"/>
      <c r="E34" s="47">
        <f t="shared" si="4"/>
        <v>184</v>
      </c>
      <c r="F34" s="53">
        <v>748</v>
      </c>
      <c r="G34" s="53">
        <v>-564</v>
      </c>
      <c r="H34" s="165" t="s">
        <v>261</v>
      </c>
      <c r="I34" s="267" t="s">
        <v>457</v>
      </c>
      <c r="J34" s="267" t="s">
        <v>457</v>
      </c>
      <c r="K34" s="267" t="s">
        <v>457</v>
      </c>
      <c r="L34" s="267" t="s">
        <v>457</v>
      </c>
      <c r="M34" s="453"/>
      <c r="N34" s="503" t="s">
        <v>206</v>
      </c>
      <c r="O34" s="254">
        <v>2159</v>
      </c>
      <c r="P34" s="269">
        <v>3924</v>
      </c>
      <c r="Q34" s="269">
        <f t="shared" ref="Q34:Q45" si="7">+O34-P34</f>
        <v>-1765</v>
      </c>
      <c r="R34" s="780" t="s">
        <v>576</v>
      </c>
      <c r="S34" s="780"/>
      <c r="T34" s="254">
        <f t="shared" si="6"/>
        <v>4315</v>
      </c>
      <c r="U34" s="269">
        <v>3535</v>
      </c>
      <c r="V34" s="269">
        <f t="shared" ref="V34:V45" si="8">+T34-U34</f>
        <v>780</v>
      </c>
      <c r="W34" s="486" t="s">
        <v>580</v>
      </c>
      <c r="X34" s="492"/>
    </row>
    <row r="35" spans="1:24" ht="15" customHeight="1">
      <c r="A35" s="153"/>
      <c r="B35" s="871" t="s">
        <v>595</v>
      </c>
      <c r="C35" s="871"/>
      <c r="D35" s="489"/>
      <c r="E35" s="47">
        <f t="shared" si="4"/>
        <v>3892</v>
      </c>
      <c r="F35" s="53">
        <v>2369</v>
      </c>
      <c r="G35" s="53">
        <v>1523</v>
      </c>
      <c r="H35" s="165" t="s">
        <v>262</v>
      </c>
      <c r="I35" s="267" t="s">
        <v>457</v>
      </c>
      <c r="J35" s="267" t="s">
        <v>457</v>
      </c>
      <c r="K35" s="267" t="s">
        <v>457</v>
      </c>
      <c r="L35" s="267" t="s">
        <v>457</v>
      </c>
      <c r="M35" s="453"/>
      <c r="N35" s="503" t="s">
        <v>204</v>
      </c>
      <c r="O35" s="254">
        <v>-1454</v>
      </c>
      <c r="P35" s="269">
        <v>117</v>
      </c>
      <c r="Q35" s="269">
        <f t="shared" si="7"/>
        <v>-1571</v>
      </c>
      <c r="R35" s="780" t="s">
        <v>579</v>
      </c>
      <c r="S35" s="780"/>
      <c r="T35" s="254">
        <f t="shared" si="6"/>
        <v>-853</v>
      </c>
      <c r="U35" s="269">
        <v>-106</v>
      </c>
      <c r="V35" s="269">
        <f t="shared" si="8"/>
        <v>-747</v>
      </c>
      <c r="W35" s="508" t="s">
        <v>599</v>
      </c>
      <c r="X35" s="492"/>
    </row>
    <row r="36" spans="1:24" ht="15" customHeight="1">
      <c r="A36" s="153"/>
      <c r="B36" s="844" t="s">
        <v>206</v>
      </c>
      <c r="C36" s="844"/>
      <c r="D36" s="489"/>
      <c r="E36" s="47">
        <f t="shared" si="4"/>
        <v>3882</v>
      </c>
      <c r="F36" s="53">
        <v>4710</v>
      </c>
      <c r="G36" s="53">
        <v>-828</v>
      </c>
      <c r="H36" s="165" t="s">
        <v>261</v>
      </c>
      <c r="I36" s="53">
        <f t="shared" si="5"/>
        <v>3025</v>
      </c>
      <c r="J36" s="53">
        <v>4112</v>
      </c>
      <c r="K36" s="53">
        <v>-1087</v>
      </c>
      <c r="L36" s="481" t="s">
        <v>261</v>
      </c>
      <c r="M36" s="453"/>
      <c r="N36" s="503" t="s">
        <v>210</v>
      </c>
      <c r="O36" s="254">
        <v>1739</v>
      </c>
      <c r="P36" s="269">
        <v>1506</v>
      </c>
      <c r="Q36" s="269">
        <f t="shared" si="7"/>
        <v>233</v>
      </c>
      <c r="R36" s="780" t="s">
        <v>580</v>
      </c>
      <c r="S36" s="780"/>
      <c r="T36" s="254">
        <f t="shared" si="6"/>
        <v>642</v>
      </c>
      <c r="U36" s="269">
        <v>1014</v>
      </c>
      <c r="V36" s="269">
        <f t="shared" si="8"/>
        <v>-372</v>
      </c>
      <c r="W36" s="486" t="s">
        <v>576</v>
      </c>
      <c r="X36" s="492"/>
    </row>
    <row r="37" spans="1:24" ht="15" customHeight="1">
      <c r="A37" s="153"/>
      <c r="B37" s="844" t="s">
        <v>586</v>
      </c>
      <c r="C37" s="844"/>
      <c r="D37" s="489"/>
      <c r="E37" s="267" t="s">
        <v>457</v>
      </c>
      <c r="F37" s="267" t="s">
        <v>457</v>
      </c>
      <c r="G37" s="267" t="s">
        <v>457</v>
      </c>
      <c r="H37" s="267" t="s">
        <v>457</v>
      </c>
      <c r="I37" s="53">
        <f t="shared" si="5"/>
        <v>-756</v>
      </c>
      <c r="J37" s="53">
        <v>434</v>
      </c>
      <c r="K37" s="53">
        <v>-1190</v>
      </c>
      <c r="L37" s="481" t="s">
        <v>3</v>
      </c>
      <c r="M37" s="34"/>
      <c r="N37" s="505" t="s">
        <v>254</v>
      </c>
      <c r="O37" s="506">
        <v>4302</v>
      </c>
      <c r="P37" s="270">
        <v>4781</v>
      </c>
      <c r="Q37" s="270">
        <f t="shared" si="7"/>
        <v>-479</v>
      </c>
      <c r="R37" s="853" t="s">
        <v>576</v>
      </c>
      <c r="S37" s="853"/>
      <c r="T37" s="506">
        <f t="shared" si="6"/>
        <v>3881</v>
      </c>
      <c r="U37" s="270">
        <v>4044</v>
      </c>
      <c r="V37" s="270">
        <f t="shared" si="8"/>
        <v>-163</v>
      </c>
      <c r="W37" s="507" t="s">
        <v>576</v>
      </c>
      <c r="X37" s="492"/>
    </row>
    <row r="38" spans="1:24" ht="15" customHeight="1">
      <c r="A38" s="153"/>
      <c r="B38" s="844" t="s">
        <v>596</v>
      </c>
      <c r="C38" s="844"/>
      <c r="D38" s="489"/>
      <c r="E38" s="47">
        <f t="shared" si="4"/>
        <v>606</v>
      </c>
      <c r="F38" s="53">
        <v>959</v>
      </c>
      <c r="G38" s="53">
        <v>-353</v>
      </c>
      <c r="H38" s="165" t="s">
        <v>261</v>
      </c>
      <c r="I38" s="267" t="s">
        <v>457</v>
      </c>
      <c r="J38" s="267" t="s">
        <v>457</v>
      </c>
      <c r="K38" s="267" t="s">
        <v>457</v>
      </c>
      <c r="L38" s="267" t="s">
        <v>457</v>
      </c>
      <c r="M38" s="453"/>
      <c r="N38" s="503" t="s">
        <v>212</v>
      </c>
      <c r="O38" s="254">
        <v>768</v>
      </c>
      <c r="P38" s="269">
        <v>1685</v>
      </c>
      <c r="Q38" s="269">
        <f t="shared" si="7"/>
        <v>-917</v>
      </c>
      <c r="R38" s="780" t="s">
        <v>576</v>
      </c>
      <c r="S38" s="780"/>
      <c r="T38" s="254">
        <f t="shared" si="6"/>
        <v>1443</v>
      </c>
      <c r="U38" s="269">
        <v>1341</v>
      </c>
      <c r="V38" s="269">
        <f t="shared" si="8"/>
        <v>102</v>
      </c>
      <c r="W38" s="486" t="s">
        <v>4</v>
      </c>
      <c r="X38" s="492"/>
    </row>
    <row r="39" spans="1:24" ht="15" customHeight="1">
      <c r="A39" s="153"/>
      <c r="B39" s="844" t="s">
        <v>210</v>
      </c>
      <c r="C39" s="844"/>
      <c r="D39" s="489"/>
      <c r="E39" s="47">
        <f t="shared" si="4"/>
        <v>1525</v>
      </c>
      <c r="F39" s="53">
        <v>1441</v>
      </c>
      <c r="G39" s="53">
        <v>84</v>
      </c>
      <c r="H39" s="165" t="s">
        <v>262</v>
      </c>
      <c r="I39" s="53">
        <f t="shared" si="5"/>
        <v>1881</v>
      </c>
      <c r="J39" s="53">
        <v>1254</v>
      </c>
      <c r="K39" s="53">
        <v>627</v>
      </c>
      <c r="L39" s="481" t="s">
        <v>262</v>
      </c>
      <c r="M39" s="453"/>
      <c r="N39" s="503" t="s">
        <v>214</v>
      </c>
      <c r="O39" s="254">
        <v>1504</v>
      </c>
      <c r="P39" s="269">
        <v>1457</v>
      </c>
      <c r="Q39" s="269">
        <f t="shared" si="7"/>
        <v>47</v>
      </c>
      <c r="R39" s="780" t="s">
        <v>580</v>
      </c>
      <c r="S39" s="780"/>
      <c r="T39" s="254">
        <f t="shared" si="6"/>
        <v>1227</v>
      </c>
      <c r="U39" s="269">
        <v>1405</v>
      </c>
      <c r="V39" s="269">
        <f t="shared" si="8"/>
        <v>-178</v>
      </c>
      <c r="W39" s="486" t="s">
        <v>576</v>
      </c>
      <c r="X39" s="492"/>
    </row>
    <row r="40" spans="1:24" ht="15" customHeight="1">
      <c r="A40" s="153"/>
      <c r="B40" s="849" t="s">
        <v>254</v>
      </c>
      <c r="C40" s="849"/>
      <c r="D40" s="490"/>
      <c r="E40" s="55">
        <f t="shared" si="4"/>
        <v>6732</v>
      </c>
      <c r="F40" s="56">
        <v>6416</v>
      </c>
      <c r="G40" s="56">
        <v>316</v>
      </c>
      <c r="H40" s="166" t="s">
        <v>262</v>
      </c>
      <c r="I40" s="56">
        <f t="shared" si="5"/>
        <v>3315</v>
      </c>
      <c r="J40" s="56">
        <v>5585</v>
      </c>
      <c r="K40" s="56">
        <v>-2270</v>
      </c>
      <c r="L40" s="482" t="s">
        <v>261</v>
      </c>
      <c r="M40" s="453"/>
      <c r="N40" s="503" t="s">
        <v>216</v>
      </c>
      <c r="O40" s="254">
        <v>3849</v>
      </c>
      <c r="P40" s="269">
        <v>4852</v>
      </c>
      <c r="Q40" s="269">
        <f t="shared" si="7"/>
        <v>-1003</v>
      </c>
      <c r="R40" s="780" t="s">
        <v>576</v>
      </c>
      <c r="S40" s="780"/>
      <c r="T40" s="254">
        <f t="shared" si="6"/>
        <v>9030</v>
      </c>
      <c r="U40" s="269">
        <v>4043</v>
      </c>
      <c r="V40" s="269">
        <f t="shared" si="8"/>
        <v>4987</v>
      </c>
      <c r="W40" s="486" t="s">
        <v>577</v>
      </c>
      <c r="X40" s="492"/>
    </row>
    <row r="41" spans="1:24" ht="15" customHeight="1">
      <c r="A41" s="153"/>
      <c r="B41" s="844" t="s">
        <v>212</v>
      </c>
      <c r="C41" s="844"/>
      <c r="D41" s="489"/>
      <c r="E41" s="47">
        <f t="shared" si="4"/>
        <v>2651</v>
      </c>
      <c r="F41" s="53">
        <v>1815</v>
      </c>
      <c r="G41" s="53">
        <v>836</v>
      </c>
      <c r="H41" s="165" t="s">
        <v>262</v>
      </c>
      <c r="I41" s="53">
        <f t="shared" si="5"/>
        <v>2857</v>
      </c>
      <c r="J41" s="53">
        <v>1688</v>
      </c>
      <c r="K41" s="53">
        <v>1169</v>
      </c>
      <c r="L41" s="481" t="s">
        <v>262</v>
      </c>
      <c r="M41" s="453"/>
      <c r="N41" s="503" t="s">
        <v>218</v>
      </c>
      <c r="O41" s="254">
        <v>4745</v>
      </c>
      <c r="P41" s="269">
        <v>2724</v>
      </c>
      <c r="Q41" s="269">
        <f t="shared" si="7"/>
        <v>2021</v>
      </c>
      <c r="R41" s="780" t="s">
        <v>4</v>
      </c>
      <c r="S41" s="780"/>
      <c r="T41" s="254">
        <f t="shared" si="6"/>
        <v>3858</v>
      </c>
      <c r="U41" s="269">
        <v>2827</v>
      </c>
      <c r="V41" s="269">
        <f t="shared" si="8"/>
        <v>1031</v>
      </c>
      <c r="W41" s="486" t="s">
        <v>4</v>
      </c>
      <c r="X41" s="492"/>
    </row>
    <row r="42" spans="1:24" ht="15" customHeight="1">
      <c r="A42" s="153"/>
      <c r="B42" s="844" t="s">
        <v>214</v>
      </c>
      <c r="C42" s="844"/>
      <c r="D42" s="489"/>
      <c r="E42" s="47">
        <f t="shared" si="4"/>
        <v>1478</v>
      </c>
      <c r="F42" s="53">
        <v>2041</v>
      </c>
      <c r="G42" s="53">
        <v>-563</v>
      </c>
      <c r="H42" s="165" t="s">
        <v>261</v>
      </c>
      <c r="I42" s="53">
        <f t="shared" si="5"/>
        <v>842</v>
      </c>
      <c r="J42" s="53">
        <v>1584</v>
      </c>
      <c r="K42" s="53">
        <v>-742</v>
      </c>
      <c r="L42" s="481" t="s">
        <v>261</v>
      </c>
      <c r="M42" s="453"/>
      <c r="N42" s="503" t="s">
        <v>593</v>
      </c>
      <c r="O42" s="267" t="s">
        <v>457</v>
      </c>
      <c r="P42" s="267" t="s">
        <v>457</v>
      </c>
      <c r="Q42" s="267" t="s">
        <v>457</v>
      </c>
      <c r="R42" s="267"/>
      <c r="S42" s="267" t="s">
        <v>457</v>
      </c>
      <c r="T42" s="254">
        <f t="shared" si="6"/>
        <v>2258</v>
      </c>
      <c r="U42" s="269">
        <v>-10</v>
      </c>
      <c r="V42" s="269">
        <f>+T42-U42</f>
        <v>2268</v>
      </c>
      <c r="W42" s="486" t="s">
        <v>600</v>
      </c>
      <c r="X42" s="492"/>
    </row>
    <row r="43" spans="1:24" ht="15" customHeight="1">
      <c r="A43" s="153"/>
      <c r="B43" s="844" t="s">
        <v>216</v>
      </c>
      <c r="C43" s="844"/>
      <c r="D43" s="489"/>
      <c r="E43" s="47">
        <f t="shared" si="4"/>
        <v>4350</v>
      </c>
      <c r="F43" s="53">
        <v>5722</v>
      </c>
      <c r="G43" s="53">
        <v>-1372</v>
      </c>
      <c r="H43" s="165" t="s">
        <v>261</v>
      </c>
      <c r="I43" s="53">
        <f t="shared" si="5"/>
        <v>6714</v>
      </c>
      <c r="J43" s="53">
        <v>5426</v>
      </c>
      <c r="K43" s="53">
        <v>1288</v>
      </c>
      <c r="L43" s="481" t="s">
        <v>262</v>
      </c>
      <c r="M43" s="453"/>
      <c r="N43" s="503" t="s">
        <v>198</v>
      </c>
      <c r="O43" s="254">
        <v>1033</v>
      </c>
      <c r="P43" s="269">
        <v>1131</v>
      </c>
      <c r="Q43" s="269">
        <f t="shared" si="7"/>
        <v>-98</v>
      </c>
      <c r="R43" s="780" t="s">
        <v>576</v>
      </c>
      <c r="S43" s="780"/>
      <c r="T43" s="254">
        <f t="shared" si="6"/>
        <v>-258</v>
      </c>
      <c r="U43" s="269">
        <v>898</v>
      </c>
      <c r="V43" s="269">
        <f t="shared" si="8"/>
        <v>-1156</v>
      </c>
      <c r="W43" s="486" t="s">
        <v>579</v>
      </c>
      <c r="X43" s="492"/>
    </row>
    <row r="44" spans="1:24" ht="15" customHeight="1">
      <c r="A44" s="153"/>
      <c r="B44" s="844" t="s">
        <v>198</v>
      </c>
      <c r="C44" s="844"/>
      <c r="D44" s="489"/>
      <c r="E44" s="47">
        <f t="shared" si="4"/>
        <v>4261</v>
      </c>
      <c r="F44" s="53">
        <v>1449</v>
      </c>
      <c r="G44" s="53">
        <v>2812</v>
      </c>
      <c r="H44" s="165" t="s">
        <v>263</v>
      </c>
      <c r="I44" s="53">
        <f t="shared" si="5"/>
        <v>2318</v>
      </c>
      <c r="J44" s="53">
        <v>2541</v>
      </c>
      <c r="K44" s="53">
        <v>-223</v>
      </c>
      <c r="L44" s="481" t="s">
        <v>261</v>
      </c>
      <c r="M44" s="453"/>
      <c r="N44" s="503" t="s">
        <v>199</v>
      </c>
      <c r="O44" s="254">
        <v>975</v>
      </c>
      <c r="P44" s="269">
        <v>379</v>
      </c>
      <c r="Q44" s="269">
        <f t="shared" si="7"/>
        <v>596</v>
      </c>
      <c r="R44" s="780" t="s">
        <v>577</v>
      </c>
      <c r="S44" s="780"/>
      <c r="T44" s="254">
        <f t="shared" si="6"/>
        <v>2092</v>
      </c>
      <c r="U44" s="269">
        <v>677</v>
      </c>
      <c r="V44" s="269">
        <f t="shared" si="8"/>
        <v>1415</v>
      </c>
      <c r="W44" s="486" t="s">
        <v>577</v>
      </c>
      <c r="X44" s="492"/>
    </row>
    <row r="45" spans="1:24" ht="15" customHeight="1" thickBot="1">
      <c r="A45" s="153"/>
      <c r="B45" s="844" t="s">
        <v>264</v>
      </c>
      <c r="C45" s="844"/>
      <c r="D45" s="489"/>
      <c r="E45" s="47">
        <f t="shared" si="4"/>
        <v>4945</v>
      </c>
      <c r="F45" s="53">
        <v>2659</v>
      </c>
      <c r="G45" s="53">
        <v>2286</v>
      </c>
      <c r="H45" s="165" t="s">
        <v>262</v>
      </c>
      <c r="I45" s="53">
        <f t="shared" si="5"/>
        <v>956</v>
      </c>
      <c r="J45" s="53">
        <v>1356</v>
      </c>
      <c r="K45" s="53">
        <v>-400</v>
      </c>
      <c r="L45" s="481" t="s">
        <v>261</v>
      </c>
      <c r="M45" s="453"/>
      <c r="N45" s="168" t="s">
        <v>203</v>
      </c>
      <c r="O45" s="327">
        <v>1707</v>
      </c>
      <c r="P45" s="271">
        <v>1577</v>
      </c>
      <c r="Q45" s="271">
        <f t="shared" si="7"/>
        <v>130</v>
      </c>
      <c r="R45" s="837" t="s">
        <v>580</v>
      </c>
      <c r="S45" s="837"/>
      <c r="T45" s="327">
        <f t="shared" si="6"/>
        <v>2258</v>
      </c>
      <c r="U45" s="271">
        <v>1657</v>
      </c>
      <c r="V45" s="271">
        <f t="shared" si="8"/>
        <v>601</v>
      </c>
      <c r="W45" s="487" t="s">
        <v>580</v>
      </c>
      <c r="X45" s="492"/>
    </row>
    <row r="46" spans="1:24" ht="15" customHeight="1">
      <c r="A46" s="153"/>
      <c r="B46" s="844" t="s">
        <v>199</v>
      </c>
      <c r="C46" s="844"/>
      <c r="D46" s="489"/>
      <c r="E46" s="47">
        <f t="shared" si="4"/>
        <v>259</v>
      </c>
      <c r="F46" s="53">
        <v>518</v>
      </c>
      <c r="G46" s="53">
        <v>-259</v>
      </c>
      <c r="H46" s="165" t="s">
        <v>261</v>
      </c>
      <c r="I46" s="53">
        <f t="shared" si="5"/>
        <v>234</v>
      </c>
      <c r="J46" s="53">
        <v>415</v>
      </c>
      <c r="K46" s="53">
        <v>-181</v>
      </c>
      <c r="L46" s="481" t="s">
        <v>261</v>
      </c>
      <c r="M46" s="36"/>
      <c r="N46" s="53"/>
      <c r="O46" s="53"/>
      <c r="P46" s="53"/>
      <c r="Q46" s="498"/>
      <c r="R46" s="498"/>
      <c r="S46" s="498"/>
      <c r="T46" s="47"/>
      <c r="U46" s="47"/>
      <c r="V46" s="53"/>
      <c r="W46" s="7" t="s">
        <v>602</v>
      </c>
    </row>
    <row r="47" spans="1:24" ht="15" customHeight="1" thickBot="1">
      <c r="A47" s="155"/>
      <c r="B47" s="848" t="s">
        <v>203</v>
      </c>
      <c r="C47" s="848"/>
      <c r="D47" s="491"/>
      <c r="E47" s="162">
        <f t="shared" si="4"/>
        <v>1850</v>
      </c>
      <c r="F47" s="163">
        <v>1628</v>
      </c>
      <c r="G47" s="163">
        <v>222</v>
      </c>
      <c r="H47" s="167" t="s">
        <v>262</v>
      </c>
      <c r="I47" s="163">
        <f t="shared" si="5"/>
        <v>1438</v>
      </c>
      <c r="J47" s="163">
        <v>1580</v>
      </c>
      <c r="K47" s="163">
        <v>-142</v>
      </c>
      <c r="L47" s="483" t="s">
        <v>261</v>
      </c>
      <c r="M47" s="5" t="s">
        <v>266</v>
      </c>
      <c r="N47" s="42"/>
      <c r="O47" s="42"/>
      <c r="P47" s="42"/>
      <c r="Q47" s="42"/>
      <c r="R47" s="42"/>
      <c r="S47" s="42"/>
      <c r="T47" s="42"/>
      <c r="U47" s="42"/>
      <c r="V47" s="42"/>
    </row>
    <row r="48" spans="1:24" ht="15" customHeight="1">
      <c r="A48" s="36"/>
      <c r="B48" s="453" t="s">
        <v>265</v>
      </c>
      <c r="C48" s="33"/>
      <c r="D48" s="453"/>
      <c r="E48" s="47"/>
      <c r="F48" s="47"/>
      <c r="G48" s="47"/>
      <c r="H48" s="498"/>
      <c r="I48" s="47"/>
      <c r="J48" s="47"/>
      <c r="K48" s="47"/>
      <c r="L48" s="498"/>
      <c r="M48" s="5" t="s">
        <v>267</v>
      </c>
      <c r="N48" s="42"/>
      <c r="O48" s="42"/>
      <c r="P48" s="42"/>
      <c r="Q48" s="42"/>
      <c r="R48" s="42"/>
      <c r="S48" s="42"/>
      <c r="T48" s="42"/>
      <c r="U48" s="42"/>
      <c r="V48" s="42"/>
      <c r="W48" s="42"/>
    </row>
    <row r="49" spans="2:23" ht="15" customHeight="1">
      <c r="B49" s="850" t="s">
        <v>592</v>
      </c>
      <c r="C49" s="5" t="s">
        <v>589</v>
      </c>
      <c r="D49" s="5"/>
      <c r="E49" s="42"/>
      <c r="F49" s="42"/>
      <c r="G49" s="42"/>
      <c r="H49" s="42"/>
      <c r="I49" s="42"/>
      <c r="J49" s="42"/>
      <c r="K49" s="42"/>
      <c r="L49" s="43"/>
      <c r="M49" s="57" t="s">
        <v>268</v>
      </c>
      <c r="N49" s="57"/>
      <c r="O49" s="57"/>
      <c r="P49" s="57"/>
      <c r="Q49" s="57"/>
      <c r="S49" s="846" t="s">
        <v>269</v>
      </c>
      <c r="T49" s="846"/>
      <c r="U49" s="846"/>
      <c r="V49" s="846"/>
    </row>
    <row r="50" spans="2:23" ht="15" customHeight="1">
      <c r="B50" s="850"/>
      <c r="C50" s="5" t="s">
        <v>587</v>
      </c>
      <c r="D50" s="5"/>
      <c r="E50" s="42"/>
      <c r="F50" s="42"/>
      <c r="G50" s="42"/>
      <c r="H50" s="42"/>
      <c r="I50" s="42"/>
      <c r="J50" s="42"/>
      <c r="K50" s="42"/>
      <c r="L50" s="43"/>
      <c r="M50" s="57" t="s">
        <v>270</v>
      </c>
      <c r="N50" s="57"/>
      <c r="O50" s="57"/>
      <c r="P50" s="57"/>
      <c r="Q50" s="57"/>
      <c r="R50" s="42"/>
      <c r="S50" s="846" t="s">
        <v>271</v>
      </c>
      <c r="T50" s="846"/>
      <c r="U50" s="846"/>
      <c r="V50" s="846"/>
      <c r="W50" s="42"/>
    </row>
    <row r="51" spans="2:23" ht="15" customHeight="1">
      <c r="B51" s="850"/>
      <c r="C51" s="5" t="s">
        <v>588</v>
      </c>
      <c r="D51" s="5"/>
      <c r="E51" s="42"/>
      <c r="F51" s="42"/>
      <c r="G51" s="42"/>
      <c r="H51" s="42"/>
      <c r="I51" s="42"/>
      <c r="J51" s="42"/>
      <c r="K51" s="42"/>
      <c r="L51" s="43"/>
      <c r="M51" s="57" t="s">
        <v>272</v>
      </c>
      <c r="N51" s="57"/>
      <c r="O51" s="57"/>
      <c r="P51" s="57"/>
      <c r="Q51" s="57"/>
      <c r="R51" s="453"/>
      <c r="S51" s="846" t="s">
        <v>273</v>
      </c>
      <c r="T51" s="846"/>
      <c r="U51" s="846"/>
      <c r="V51" s="846"/>
      <c r="W51" s="453"/>
    </row>
    <row r="52" spans="2:23" ht="15" customHeight="1">
      <c r="B52" s="850"/>
      <c r="C52" s="5" t="s">
        <v>590</v>
      </c>
      <c r="D52" s="5"/>
      <c r="E52" s="42"/>
      <c r="F52" s="42"/>
      <c r="G52" s="42"/>
      <c r="H52" s="42"/>
      <c r="I52" s="42"/>
      <c r="J52" s="42"/>
      <c r="K52" s="42"/>
      <c r="L52" s="43"/>
      <c r="M52" s="845" t="s">
        <v>274</v>
      </c>
      <c r="N52" s="845"/>
      <c r="O52" s="845"/>
      <c r="P52" s="845"/>
      <c r="Q52" s="845"/>
      <c r="R52" s="453"/>
      <c r="S52" s="846" t="s">
        <v>275</v>
      </c>
      <c r="T52" s="846"/>
      <c r="U52" s="846"/>
      <c r="V52" s="846"/>
      <c r="W52" s="453"/>
    </row>
    <row r="53" spans="2:23" ht="15" customHeight="1">
      <c r="B53" s="850"/>
      <c r="C53" s="5" t="s">
        <v>591</v>
      </c>
      <c r="D53" s="5"/>
      <c r="E53" s="42"/>
      <c r="F53" s="42"/>
      <c r="G53" s="42"/>
      <c r="H53" s="42"/>
      <c r="I53" s="42"/>
      <c r="J53" s="42"/>
      <c r="K53" s="42"/>
      <c r="L53" s="43"/>
    </row>
  </sheetData>
  <sheetProtection sheet="1" objects="1" scenarios="1"/>
  <mergeCells count="151">
    <mergeCell ref="W19:X19"/>
    <mergeCell ref="W20:X20"/>
    <mergeCell ref="W21:X21"/>
    <mergeCell ref="W22:X22"/>
    <mergeCell ref="W23:X23"/>
    <mergeCell ref="B26:J26"/>
    <mergeCell ref="B27:K27"/>
    <mergeCell ref="A29:D30"/>
    <mergeCell ref="E29:H29"/>
    <mergeCell ref="I29:L29"/>
    <mergeCell ref="N29:N30"/>
    <mergeCell ref="O29:S29"/>
    <mergeCell ref="T29:W29"/>
    <mergeCell ref="R30:S30"/>
    <mergeCell ref="B21:C21"/>
    <mergeCell ref="E21:F21"/>
    <mergeCell ref="G21:H21"/>
    <mergeCell ref="R21:S21"/>
    <mergeCell ref="I21:J21"/>
    <mergeCell ref="B24:K24"/>
    <mergeCell ref="G22:H22"/>
    <mergeCell ref="I22:J22"/>
    <mergeCell ref="R20:S20"/>
    <mergeCell ref="R22:S22"/>
    <mergeCell ref="W10:X10"/>
    <mergeCell ref="W11:X11"/>
    <mergeCell ref="W12:X12"/>
    <mergeCell ref="W13:X13"/>
    <mergeCell ref="W14:X14"/>
    <mergeCell ref="W15:X15"/>
    <mergeCell ref="W16:X16"/>
    <mergeCell ref="W17:X17"/>
    <mergeCell ref="W18:X18"/>
    <mergeCell ref="B33:C33"/>
    <mergeCell ref="R31:S31"/>
    <mergeCell ref="R37:S37"/>
    <mergeCell ref="E22:F22"/>
    <mergeCell ref="B22:C22"/>
    <mergeCell ref="R23:S23"/>
    <mergeCell ref="R24:S24"/>
    <mergeCell ref="B23:C23"/>
    <mergeCell ref="E23:F23"/>
    <mergeCell ref="G23:H23"/>
    <mergeCell ref="I23:J23"/>
    <mergeCell ref="B20:C20"/>
    <mergeCell ref="R34:S34"/>
    <mergeCell ref="E20:F20"/>
    <mergeCell ref="G20:H20"/>
    <mergeCell ref="I20:J20"/>
    <mergeCell ref="B31:C31"/>
    <mergeCell ref="B44:C44"/>
    <mergeCell ref="R44:S44"/>
    <mergeCell ref="B42:C42"/>
    <mergeCell ref="B43:C43"/>
    <mergeCell ref="B41:C41"/>
    <mergeCell ref="R41:S41"/>
    <mergeCell ref="B40:C40"/>
    <mergeCell ref="R40:S40"/>
    <mergeCell ref="R43:S43"/>
    <mergeCell ref="B37:C37"/>
    <mergeCell ref="B36:C36"/>
    <mergeCell ref="R32:S32"/>
    <mergeCell ref="B34:C34"/>
    <mergeCell ref="B32:C32"/>
    <mergeCell ref="R33:S33"/>
    <mergeCell ref="R36:S36"/>
    <mergeCell ref="B35:C35"/>
    <mergeCell ref="R35:S35"/>
    <mergeCell ref="B39:C39"/>
    <mergeCell ref="R39:S39"/>
    <mergeCell ref="B38:C38"/>
    <mergeCell ref="R38:S38"/>
    <mergeCell ref="B45:C45"/>
    <mergeCell ref="R45:S45"/>
    <mergeCell ref="B46:C46"/>
    <mergeCell ref="S52:V52"/>
    <mergeCell ref="S50:V50"/>
    <mergeCell ref="S51:V51"/>
    <mergeCell ref="B47:C47"/>
    <mergeCell ref="B49:B53"/>
    <mergeCell ref="S49:V49"/>
    <mergeCell ref="M52:Q52"/>
    <mergeCell ref="R18:S18"/>
    <mergeCell ref="B19:C19"/>
    <mergeCell ref="E19:F19"/>
    <mergeCell ref="G19:H19"/>
    <mergeCell ref="I19:J19"/>
    <mergeCell ref="R19:S19"/>
    <mergeCell ref="B18:C18"/>
    <mergeCell ref="E18:F18"/>
    <mergeCell ref="G18:H18"/>
    <mergeCell ref="I18:J18"/>
    <mergeCell ref="R16:S16"/>
    <mergeCell ref="B17:C17"/>
    <mergeCell ref="E17:F17"/>
    <mergeCell ref="G17:H17"/>
    <mergeCell ref="I17:J17"/>
    <mergeCell ref="R17:S17"/>
    <mergeCell ref="B16:C16"/>
    <mergeCell ref="E16:F16"/>
    <mergeCell ref="G16:H16"/>
    <mergeCell ref="I16:J16"/>
    <mergeCell ref="R14:S14"/>
    <mergeCell ref="B15:C15"/>
    <mergeCell ref="E15:F15"/>
    <mergeCell ref="G15:H15"/>
    <mergeCell ref="I15:J15"/>
    <mergeCell ref="R15:S15"/>
    <mergeCell ref="B14:C14"/>
    <mergeCell ref="E14:F14"/>
    <mergeCell ref="G14:H14"/>
    <mergeCell ref="I14:J14"/>
    <mergeCell ref="R12:S12"/>
    <mergeCell ref="B13:C13"/>
    <mergeCell ref="E13:F13"/>
    <mergeCell ref="G13:H13"/>
    <mergeCell ref="I13:J13"/>
    <mergeCell ref="R13:S13"/>
    <mergeCell ref="B12:C12"/>
    <mergeCell ref="E12:F12"/>
    <mergeCell ref="G12:H12"/>
    <mergeCell ref="I12:J12"/>
    <mergeCell ref="R10:S10"/>
    <mergeCell ref="B11:C11"/>
    <mergeCell ref="E11:F11"/>
    <mergeCell ref="G11:H11"/>
    <mergeCell ref="I11:J11"/>
    <mergeCell ref="R11:S11"/>
    <mergeCell ref="B10:C10"/>
    <mergeCell ref="E10:F10"/>
    <mergeCell ref="G10:H10"/>
    <mergeCell ref="I10:J10"/>
    <mergeCell ref="A4:L4"/>
    <mergeCell ref="N4:W4"/>
    <mergeCell ref="A5:L5"/>
    <mergeCell ref="N5:W5"/>
    <mergeCell ref="R8:S8"/>
    <mergeCell ref="O7:P7"/>
    <mergeCell ref="Q7:T7"/>
    <mergeCell ref="U7:V7"/>
    <mergeCell ref="R9:S9"/>
    <mergeCell ref="A7:D8"/>
    <mergeCell ref="E7:F8"/>
    <mergeCell ref="G7:H8"/>
    <mergeCell ref="I7:L7"/>
    <mergeCell ref="B9:C9"/>
    <mergeCell ref="E9:F9"/>
    <mergeCell ref="G9:H9"/>
    <mergeCell ref="I9:J9"/>
    <mergeCell ref="I8:J8"/>
    <mergeCell ref="W9:X9"/>
  </mergeCells>
  <phoneticPr fontId="17"/>
  <printOptions horizontalCentered="1"/>
  <pageMargins left="0.59055118110236227" right="0.59055118110236227" top="0.59055118110236227" bottom="0.59055118110236227" header="0.39370078740157483" footer="0.39370078740157483"/>
  <pageSetup paperSize="9" scale="99" firstPageNumber="0" orientation="portrait" verticalDpi="300" r:id="rId1"/>
  <headerFooter scaleWithDoc="0" alignWithMargins="0">
    <oddHeader>&amp;R&amp;"ＭＳ 明朝,標準"&amp;10人　口</oddHeader>
    <oddFooter>&amp;C&amp;"ＭＳ 明朝,標準"&amp;12&amp;A</oddFooter>
  </headerFooter>
  <colBreaks count="1" manualBreakCount="1">
    <brk id="1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15</vt:i4>
      </vt:variant>
    </vt:vector>
  </HeadingPairs>
  <TitlesOfParts>
    <vt:vector size="32" baseType="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グラフ</vt:lpstr>
      <vt:lpstr>'-39-'!Print_Area</vt:lpstr>
      <vt:lpstr>‐40‐!Print_Area</vt:lpstr>
      <vt:lpstr>‐41‐!Print_Area</vt:lpstr>
      <vt:lpstr>‐42‐!Print_Area</vt:lpstr>
      <vt:lpstr>‐43‐!Print_Area</vt:lpstr>
      <vt:lpstr>‐44‐!Print_Area</vt:lpstr>
      <vt:lpstr>‐46‐!Print_Area</vt:lpstr>
      <vt:lpstr>‐47‐!Print_Area</vt:lpstr>
      <vt:lpstr>‐48‐!Print_Area</vt:lpstr>
      <vt:lpstr>‐50‐!Print_Area</vt:lpstr>
      <vt:lpstr>‐51‐!Print_Area</vt:lpstr>
      <vt:lpstr>‐52‐!Print_Area</vt:lpstr>
      <vt:lpstr>‐53‐!Print_Area</vt:lpstr>
      <vt:lpstr>‐54‐!Print_Area</vt:lpstr>
      <vt:lpstr>グラフ!Print_Area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大道 雅穂</dc:creator>
  <cp:lastModifiedBy>宮里 磨</cp:lastModifiedBy>
  <cp:lastPrinted>2019-03-06T00:26:28Z</cp:lastPrinted>
  <dcterms:created xsi:type="dcterms:W3CDTF">2012-02-23T07:51:36Z</dcterms:created>
  <dcterms:modified xsi:type="dcterms:W3CDTF">2019-10-29T07:23:19Z</dcterms:modified>
</cp:coreProperties>
</file>