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tabRatio="601" activeTab="5"/>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0" r:id="rId17"/>
  </sheets>
  <definedNames>
    <definedName name="_xlnm.Print_Area" localSheetId="0">'-39-'!$A$1:$J$47</definedName>
    <definedName name="_xlnm.Print_Area" localSheetId="1">‐40‐!$A$1:$H$49</definedName>
    <definedName name="_xlnm.Print_Area" localSheetId="2">‐41‐!$I$1:$P$49</definedName>
    <definedName name="_xlnm.Print_Area" localSheetId="3">‐42‐!$A$1:$J$58</definedName>
    <definedName name="_xlnm.Print_Area" localSheetId="4">‐43‐!$A$1:$H$33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‐50‐!$A$1:$L$38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52511"/>
</workbook>
</file>

<file path=xl/calcChain.xml><?xml version="1.0" encoding="utf-8"?>
<calcChain xmlns="http://schemas.openxmlformats.org/spreadsheetml/2006/main">
  <c r="I47" i="20" l="1"/>
  <c r="I41" i="20"/>
  <c r="K3" i="20"/>
  <c r="K5" i="20"/>
  <c r="M5" i="20"/>
  <c r="L3" i="20"/>
  <c r="J83" i="20" l="1"/>
  <c r="J85" i="20"/>
  <c r="J87" i="20"/>
  <c r="J89" i="20"/>
  <c r="J81" i="20"/>
  <c r="I94" i="20"/>
  <c r="J94" i="20"/>
  <c r="K94" i="20"/>
  <c r="K81" i="20" s="1"/>
  <c r="I81" i="20" s="1"/>
  <c r="L94" i="20"/>
  <c r="I95" i="20"/>
  <c r="J82" i="20" s="1"/>
  <c r="J95" i="20"/>
  <c r="K95" i="20"/>
  <c r="K82" i="20" s="1"/>
  <c r="L95" i="20"/>
  <c r="I96" i="20"/>
  <c r="J96" i="20"/>
  <c r="K96" i="20"/>
  <c r="K83" i="20" s="1"/>
  <c r="L96" i="20"/>
  <c r="I97" i="20"/>
  <c r="J84" i="20" s="1"/>
  <c r="J97" i="20"/>
  <c r="K97" i="20"/>
  <c r="K84" i="20" s="1"/>
  <c r="L97" i="20"/>
  <c r="I98" i="20"/>
  <c r="J98" i="20"/>
  <c r="K98" i="20"/>
  <c r="K85" i="20" s="1"/>
  <c r="L98" i="20"/>
  <c r="I99" i="20"/>
  <c r="J86" i="20" s="1"/>
  <c r="J99" i="20"/>
  <c r="K99" i="20"/>
  <c r="K86" i="20" s="1"/>
  <c r="L99" i="20"/>
  <c r="I100" i="20"/>
  <c r="J100" i="20"/>
  <c r="K100" i="20"/>
  <c r="K87" i="20" s="1"/>
  <c r="L100" i="20"/>
  <c r="I101" i="20"/>
  <c r="J88" i="20" s="1"/>
  <c r="J101" i="20"/>
  <c r="K101" i="20"/>
  <c r="K88" i="20" s="1"/>
  <c r="L101" i="20"/>
  <c r="I102" i="20"/>
  <c r="J102" i="20"/>
  <c r="K102" i="20"/>
  <c r="K89" i="20" s="1"/>
  <c r="L102" i="20"/>
  <c r="I103" i="20"/>
  <c r="J90" i="20" s="1"/>
  <c r="J103" i="20"/>
  <c r="K103" i="20"/>
  <c r="K90" i="20" s="1"/>
  <c r="L103" i="20"/>
  <c r="L104" i="20"/>
  <c r="K104" i="20"/>
  <c r="K91" i="20" s="1"/>
  <c r="J104" i="20"/>
  <c r="I104" i="20"/>
  <c r="J91" i="20" s="1"/>
  <c r="I90" i="20" l="1"/>
  <c r="I88" i="20"/>
  <c r="I91" i="20"/>
  <c r="I83" i="20"/>
  <c r="I87" i="20"/>
  <c r="I86" i="20"/>
  <c r="I84" i="20"/>
  <c r="I89" i="20"/>
  <c r="I82" i="20"/>
  <c r="I85" i="20"/>
  <c r="H54" i="21"/>
  <c r="E54" i="21"/>
  <c r="C54" i="21"/>
  <c r="H53" i="21"/>
  <c r="E53" i="21"/>
  <c r="C53" i="21" s="1"/>
  <c r="H52" i="21"/>
  <c r="E52" i="21"/>
  <c r="C52" i="21" s="1"/>
  <c r="H51" i="21"/>
  <c r="E51" i="21"/>
  <c r="C51" i="21"/>
  <c r="H50" i="21"/>
  <c r="E50" i="21"/>
  <c r="C50" i="21"/>
  <c r="H49" i="21"/>
  <c r="E49" i="21"/>
  <c r="C49" i="21" s="1"/>
  <c r="H48" i="21"/>
  <c r="E48" i="21"/>
  <c r="C48" i="21" s="1"/>
  <c r="H47" i="21"/>
  <c r="E47" i="21"/>
  <c r="C47" i="21"/>
  <c r="H46" i="21"/>
  <c r="E46" i="21"/>
  <c r="C46" i="21"/>
  <c r="H45" i="21"/>
  <c r="E45" i="21"/>
  <c r="C45" i="21" s="1"/>
  <c r="H44" i="21"/>
  <c r="E44" i="21"/>
  <c r="C44" i="21" s="1"/>
  <c r="H43" i="21"/>
  <c r="E43" i="21"/>
  <c r="C43" i="21"/>
  <c r="L41" i="21"/>
  <c r="K41" i="21"/>
  <c r="J41" i="21"/>
  <c r="I41" i="21"/>
  <c r="H41" i="21" s="1"/>
  <c r="G41" i="21"/>
  <c r="F41" i="21"/>
  <c r="E41" i="21"/>
  <c r="C41" i="21" s="1"/>
  <c r="L4" i="21"/>
  <c r="J6" i="3" l="1"/>
  <c r="C6" i="4" l="1"/>
  <c r="E6" i="4" l="1"/>
  <c r="I8" i="3" l="1"/>
  <c r="H47" i="18" l="1"/>
  <c r="G47" i="18"/>
  <c r="D47" i="18"/>
  <c r="C47" i="18"/>
  <c r="F46" i="18"/>
  <c r="B46" i="18"/>
  <c r="F45" i="18"/>
  <c r="B45" i="18"/>
  <c r="F44" i="18"/>
  <c r="B44" i="18"/>
  <c r="F43" i="18"/>
  <c r="B43" i="18"/>
  <c r="F42" i="18"/>
  <c r="F47" i="18" s="1"/>
  <c r="B42" i="18"/>
  <c r="B47" i="18" s="1"/>
  <c r="H40" i="18"/>
  <c r="G40" i="18"/>
  <c r="D40" i="18"/>
  <c r="C40" i="18"/>
  <c r="F39" i="18"/>
  <c r="B39" i="18"/>
  <c r="F38" i="18"/>
  <c r="B38" i="18"/>
  <c r="F37" i="18"/>
  <c r="B37" i="18"/>
  <c r="F36" i="18"/>
  <c r="B36" i="18"/>
  <c r="F35" i="18"/>
  <c r="F40" i="18" s="1"/>
  <c r="B35" i="18"/>
  <c r="B40" i="18" s="1"/>
  <c r="H33" i="18"/>
  <c r="G33" i="18"/>
  <c r="D33" i="18"/>
  <c r="P33" i="18" s="1"/>
  <c r="N33" i="18" s="1"/>
  <c r="C33" i="18"/>
  <c r="F32" i="18"/>
  <c r="B32" i="18"/>
  <c r="F31" i="18"/>
  <c r="B31" i="18"/>
  <c r="F30" i="18"/>
  <c r="B30" i="18"/>
  <c r="F29" i="18"/>
  <c r="B29" i="18"/>
  <c r="F28" i="18"/>
  <c r="F33" i="18" s="1"/>
  <c r="B28" i="18"/>
  <c r="B33" i="18" s="1"/>
  <c r="H26" i="18"/>
  <c r="G26" i="18"/>
  <c r="D26" i="18"/>
  <c r="C26" i="18"/>
  <c r="F25" i="18"/>
  <c r="B25" i="18"/>
  <c r="F24" i="18"/>
  <c r="B24" i="18"/>
  <c r="F23" i="18"/>
  <c r="B23" i="18"/>
  <c r="F22" i="18"/>
  <c r="B22" i="18"/>
  <c r="F21" i="18"/>
  <c r="F26" i="18" s="1"/>
  <c r="B21" i="18"/>
  <c r="B26" i="18" s="1"/>
  <c r="H19" i="18"/>
  <c r="G19" i="18"/>
  <c r="D19" i="18"/>
  <c r="C19" i="18"/>
  <c r="F18" i="18"/>
  <c r="B18" i="18"/>
  <c r="F17" i="18"/>
  <c r="B17" i="18"/>
  <c r="F16" i="18"/>
  <c r="B16" i="18"/>
  <c r="F15" i="18"/>
  <c r="B15" i="18"/>
  <c r="F14" i="18"/>
  <c r="F19" i="18" s="1"/>
  <c r="B14" i="18"/>
  <c r="B19" i="18" s="1"/>
  <c r="H12" i="18"/>
  <c r="G12" i="18"/>
  <c r="D12" i="18"/>
  <c r="D5" i="18" s="1"/>
  <c r="C12" i="18"/>
  <c r="F11" i="18"/>
  <c r="B11" i="18"/>
  <c r="F10" i="18"/>
  <c r="B10" i="18"/>
  <c r="F9" i="18"/>
  <c r="B9" i="18"/>
  <c r="F8" i="18"/>
  <c r="B8" i="18"/>
  <c r="F7" i="18"/>
  <c r="F12" i="18" s="1"/>
  <c r="B7" i="18"/>
  <c r="B12" i="18" s="1"/>
  <c r="C5" i="18"/>
  <c r="B5" i="18" s="1"/>
  <c r="O38" i="18"/>
  <c r="L47" i="18"/>
  <c r="K47" i="18"/>
  <c r="J46" i="18"/>
  <c r="J45" i="18"/>
  <c r="J44" i="18"/>
  <c r="J43" i="18"/>
  <c r="J42" i="18"/>
  <c r="J47" i="18" s="1"/>
  <c r="L40" i="18"/>
  <c r="K40" i="18"/>
  <c r="J39" i="18"/>
  <c r="J38" i="18"/>
  <c r="J37" i="18"/>
  <c r="J36" i="18"/>
  <c r="J35" i="18"/>
  <c r="J40" i="18" s="1"/>
  <c r="O33" i="18"/>
  <c r="L33" i="18"/>
  <c r="P36" i="18" s="1"/>
  <c r="K33" i="18"/>
  <c r="O36" i="18" s="1"/>
  <c r="J32" i="18"/>
  <c r="J31" i="18"/>
  <c r="J30" i="18"/>
  <c r="J29" i="18"/>
  <c r="N28" i="18"/>
  <c r="J28" i="18"/>
  <c r="J33" i="18" s="1"/>
  <c r="P26" i="18"/>
  <c r="O26" i="18"/>
  <c r="L26" i="18"/>
  <c r="P35" i="18" s="1"/>
  <c r="K26" i="18"/>
  <c r="N25" i="18"/>
  <c r="J25" i="18"/>
  <c r="N24" i="18"/>
  <c r="J24" i="18"/>
  <c r="N23" i="18"/>
  <c r="J23" i="18"/>
  <c r="N22" i="18"/>
  <c r="J22" i="18"/>
  <c r="J26" i="18" s="1"/>
  <c r="N21" i="18"/>
  <c r="N26" i="18" s="1"/>
  <c r="J21" i="18"/>
  <c r="P19" i="18"/>
  <c r="O19" i="18"/>
  <c r="L19" i="18"/>
  <c r="P40" i="18" s="1"/>
  <c r="K19" i="18"/>
  <c r="O40" i="18" s="1"/>
  <c r="N18" i="18"/>
  <c r="J18" i="18"/>
  <c r="N17" i="18"/>
  <c r="J17" i="18"/>
  <c r="N16" i="18"/>
  <c r="J16" i="18"/>
  <c r="N15" i="18"/>
  <c r="J15" i="18"/>
  <c r="J19" i="18" s="1"/>
  <c r="N14" i="18"/>
  <c r="N19" i="18" s="1"/>
  <c r="J14" i="18"/>
  <c r="P12" i="18"/>
  <c r="O12" i="18"/>
  <c r="L12" i="18"/>
  <c r="P34" i="18" s="1"/>
  <c r="K12" i="18"/>
  <c r="O39" i="18" s="1"/>
  <c r="N11" i="18"/>
  <c r="J11" i="18"/>
  <c r="N10" i="18"/>
  <c r="J10" i="18"/>
  <c r="N9" i="18"/>
  <c r="J9" i="18"/>
  <c r="N8" i="18"/>
  <c r="J8" i="18"/>
  <c r="J12" i="18" s="1"/>
  <c r="N7" i="18"/>
  <c r="N12" i="18" s="1"/>
  <c r="J7" i="18"/>
  <c r="C5" i="2"/>
  <c r="I6" i="14"/>
  <c r="I14" i="14"/>
  <c r="I15" i="14"/>
  <c r="P39" i="18" l="1"/>
  <c r="P38" i="18"/>
  <c r="N38" i="18" s="1"/>
  <c r="N43" i="18" s="1"/>
  <c r="N39" i="18"/>
  <c r="N40" i="18"/>
  <c r="N36" i="18"/>
  <c r="O32" i="18"/>
  <c r="P32" i="18"/>
  <c r="O34" i="18"/>
  <c r="N34" i="18" s="1"/>
  <c r="O35" i="18"/>
  <c r="N35" i="18" s="1"/>
  <c r="C30" i="14"/>
  <c r="N32" i="18" l="1"/>
  <c r="C40" i="21"/>
  <c r="E40" i="21"/>
  <c r="C14" i="14"/>
  <c r="C13" i="14"/>
  <c r="O43" i="18" l="1"/>
  <c r="P43" i="18"/>
  <c r="P44" i="18"/>
  <c r="P45" i="18"/>
  <c r="O44" i="18"/>
  <c r="O45" i="18"/>
  <c r="N45" i="18"/>
  <c r="N44" i="18"/>
  <c r="P290" i="20"/>
  <c r="O289" i="20" l="1"/>
  <c r="O292" i="20" s="1"/>
  <c r="N289" i="20"/>
  <c r="N14" i="11"/>
  <c r="L14" i="11"/>
  <c r="N292" i="20" l="1"/>
  <c r="P289" i="20"/>
  <c r="P292" i="20" s="1"/>
  <c r="V31" i="19"/>
  <c r="N12" i="11" l="1"/>
  <c r="J20" i="15"/>
  <c r="J13" i="15"/>
  <c r="J20" i="11"/>
  <c r="J13" i="11"/>
  <c r="R23" i="7" l="1"/>
  <c r="R22" i="7"/>
  <c r="R21" i="7"/>
  <c r="R20" i="7"/>
  <c r="R19" i="7"/>
  <c r="R18" i="7"/>
  <c r="R17" i="7"/>
  <c r="R16" i="7"/>
  <c r="R15" i="7"/>
  <c r="R14" i="7"/>
  <c r="R13" i="7"/>
  <c r="R12" i="7"/>
  <c r="R11" i="7"/>
  <c r="R10" i="7"/>
  <c r="R9" i="7"/>
  <c r="R18" i="19"/>
  <c r="R15" i="19"/>
  <c r="T15" i="19"/>
  <c r="R11" i="19"/>
  <c r="R12" i="19"/>
  <c r="R13" i="19"/>
  <c r="R14" i="19"/>
  <c r="R16" i="19"/>
  <c r="R17" i="19"/>
  <c r="R19" i="19"/>
  <c r="R20" i="19"/>
  <c r="R21" i="19"/>
  <c r="R22" i="19"/>
  <c r="R23" i="19"/>
  <c r="R10" i="19"/>
  <c r="R9" i="19"/>
  <c r="P20" i="19"/>
  <c r="O20" i="19"/>
  <c r="O20" i="7"/>
  <c r="P20" i="7" s="1"/>
  <c r="H10" i="4"/>
  <c r="H25" i="4"/>
  <c r="E43" i="14" l="1"/>
  <c r="H17" i="4" l="1"/>
  <c r="F8" i="4"/>
  <c r="G8" i="4" s="1"/>
  <c r="H8" i="4"/>
  <c r="I8" i="4"/>
  <c r="L8" i="4"/>
  <c r="E14" i="3" l="1"/>
  <c r="H14" i="3"/>
  <c r="G14" i="3"/>
  <c r="F21" i="3"/>
  <c r="I21" i="3" s="1"/>
  <c r="F26" i="3" l="1"/>
  <c r="P26" i="2"/>
  <c r="L19" i="2"/>
  <c r="P20" i="11" l="1"/>
  <c r="N20" i="11"/>
  <c r="P19" i="11"/>
  <c r="N19" i="11"/>
  <c r="P18" i="11"/>
  <c r="N18" i="11"/>
  <c r="P17" i="11"/>
  <c r="N17" i="11"/>
  <c r="P16" i="11"/>
  <c r="N16" i="11"/>
  <c r="P15" i="11"/>
  <c r="N15" i="11"/>
  <c r="P14" i="11"/>
  <c r="P13" i="11"/>
  <c r="N13" i="11"/>
  <c r="P12" i="11"/>
  <c r="P11" i="11"/>
  <c r="N11" i="11"/>
  <c r="P10" i="11"/>
  <c r="N10" i="11"/>
  <c r="C17" i="12" l="1"/>
  <c r="H34" i="11"/>
  <c r="D34" i="11"/>
  <c r="C34" i="11" s="1"/>
  <c r="H31" i="11"/>
  <c r="D31" i="11"/>
  <c r="C31" i="11"/>
  <c r="H28" i="11"/>
  <c r="C28" i="11" s="1"/>
  <c r="D28" i="11"/>
  <c r="L20" i="11"/>
  <c r="G20" i="11"/>
  <c r="L19" i="11"/>
  <c r="G19" i="11"/>
  <c r="J19" i="11" s="1"/>
  <c r="L18" i="11"/>
  <c r="J18" i="11"/>
  <c r="G18" i="11"/>
  <c r="L17" i="11"/>
  <c r="J17" i="11"/>
  <c r="G17" i="11"/>
  <c r="L16" i="11"/>
  <c r="G16" i="11"/>
  <c r="J16" i="11" s="1"/>
  <c r="G15" i="11"/>
  <c r="J15" i="11" s="1"/>
  <c r="J14" i="11"/>
  <c r="G14" i="11"/>
  <c r="L13" i="11"/>
  <c r="G13" i="11"/>
  <c r="L12" i="11"/>
  <c r="J12" i="11"/>
  <c r="G12" i="11"/>
  <c r="L11" i="11"/>
  <c r="G11" i="11"/>
  <c r="J11" i="11" s="1"/>
  <c r="L10" i="11"/>
  <c r="G10" i="11"/>
  <c r="J10" i="11" s="1"/>
  <c r="J10" i="15"/>
  <c r="G13" i="15"/>
  <c r="X36" i="17" l="1"/>
  <c r="W36" i="17"/>
  <c r="V36" i="17"/>
  <c r="U36" i="17"/>
  <c r="T36" i="17"/>
  <c r="S36" i="17"/>
  <c r="R36" i="17"/>
  <c r="Q36" i="17"/>
  <c r="P36" i="17"/>
  <c r="O36" i="17"/>
  <c r="N36" i="17"/>
  <c r="L36" i="17"/>
  <c r="K36" i="17"/>
  <c r="J36" i="17"/>
  <c r="I36" i="17"/>
  <c r="H36" i="17"/>
  <c r="D36" i="17" s="1"/>
  <c r="G36" i="17"/>
  <c r="F36" i="17"/>
  <c r="D34" i="17"/>
  <c r="D33" i="17"/>
  <c r="X32" i="17"/>
  <c r="W32" i="17"/>
  <c r="W31" i="17" s="1"/>
  <c r="V32" i="17"/>
  <c r="V31" i="17" s="1"/>
  <c r="U32" i="17"/>
  <c r="T32" i="17"/>
  <c r="S32" i="17"/>
  <c r="S31" i="17" s="1"/>
  <c r="R32" i="17"/>
  <c r="R31" i="17" s="1"/>
  <c r="Q32" i="17"/>
  <c r="P32" i="17"/>
  <c r="O32" i="17"/>
  <c r="O31" i="17" s="1"/>
  <c r="N32" i="17"/>
  <c r="N31" i="17" s="1"/>
  <c r="L32" i="17"/>
  <c r="K32" i="17"/>
  <c r="J32" i="17"/>
  <c r="J31" i="17" s="1"/>
  <c r="I32" i="17"/>
  <c r="I31" i="17" s="1"/>
  <c r="H32" i="17"/>
  <c r="G32" i="17"/>
  <c r="F32" i="17"/>
  <c r="F31" i="17" s="1"/>
  <c r="D32" i="17"/>
  <c r="X31" i="17" s="1"/>
  <c r="L31" i="17"/>
  <c r="H31" i="17"/>
  <c r="D30" i="17"/>
  <c r="D29" i="17"/>
  <c r="X28" i="17"/>
  <c r="X27" i="17" s="1"/>
  <c r="W28" i="17"/>
  <c r="W27" i="17" s="1"/>
  <c r="V28" i="17"/>
  <c r="V27" i="17" s="1"/>
  <c r="U28" i="17"/>
  <c r="T28" i="17"/>
  <c r="T27" i="17" s="1"/>
  <c r="S28" i="17"/>
  <c r="S27" i="17" s="1"/>
  <c r="R28" i="17"/>
  <c r="R27" i="17" s="1"/>
  <c r="Q28" i="17"/>
  <c r="P28" i="17"/>
  <c r="P27" i="17" s="1"/>
  <c r="O28" i="17"/>
  <c r="O27" i="17" s="1"/>
  <c r="N28" i="17"/>
  <c r="N27" i="17" s="1"/>
  <c r="L28" i="17"/>
  <c r="K28" i="17"/>
  <c r="K27" i="17" s="1"/>
  <c r="J28" i="17"/>
  <c r="J27" i="17" s="1"/>
  <c r="I28" i="17"/>
  <c r="I27" i="17" s="1"/>
  <c r="H28" i="17"/>
  <c r="G28" i="17"/>
  <c r="G27" i="17" s="1"/>
  <c r="F28" i="17"/>
  <c r="F27" i="17" s="1"/>
  <c r="D28" i="17"/>
  <c r="U27" i="17" s="1"/>
  <c r="Q27" i="17"/>
  <c r="L27" i="17"/>
  <c r="H27" i="17"/>
  <c r="D26" i="17"/>
  <c r="D25" i="17"/>
  <c r="X24" i="17"/>
  <c r="X23" i="17" s="1"/>
  <c r="W24" i="17"/>
  <c r="V24" i="17"/>
  <c r="D24" i="17" s="1"/>
  <c r="U24" i="17"/>
  <c r="T24" i="17"/>
  <c r="T23" i="17" s="1"/>
  <c r="S24" i="17"/>
  <c r="R24" i="17"/>
  <c r="Q24" i="17"/>
  <c r="P24" i="17"/>
  <c r="P23" i="17" s="1"/>
  <c r="O24" i="17"/>
  <c r="N24" i="17"/>
  <c r="L24" i="17"/>
  <c r="K24" i="17"/>
  <c r="K23" i="17" s="1"/>
  <c r="J24" i="17"/>
  <c r="I24" i="17"/>
  <c r="I23" i="17" s="1"/>
  <c r="H24" i="17"/>
  <c r="G24" i="17"/>
  <c r="G23" i="17" s="1"/>
  <c r="F24" i="17"/>
  <c r="Q35" i="17" l="1"/>
  <c r="U35" i="17"/>
  <c r="N35" i="17"/>
  <c r="R35" i="17"/>
  <c r="V35" i="17"/>
  <c r="W35" i="17"/>
  <c r="S35" i="17"/>
  <c r="O35" i="17"/>
  <c r="K35" i="17"/>
  <c r="G35" i="17"/>
  <c r="M35" i="17"/>
  <c r="T35" i="17"/>
  <c r="L35" i="17"/>
  <c r="J35" i="17"/>
  <c r="F35" i="17"/>
  <c r="I35" i="17"/>
  <c r="X35" i="17"/>
  <c r="P35" i="17"/>
  <c r="H35" i="17"/>
  <c r="L23" i="17"/>
  <c r="U23" i="17"/>
  <c r="Q23" i="17"/>
  <c r="H23" i="17"/>
  <c r="N23" i="17"/>
  <c r="R23" i="17"/>
  <c r="F23" i="17"/>
  <c r="J23" i="17"/>
  <c r="O23" i="17"/>
  <c r="S23" i="17"/>
  <c r="W23" i="17"/>
  <c r="D27" i="17"/>
  <c r="Q31" i="17"/>
  <c r="U31" i="17"/>
  <c r="V23" i="17"/>
  <c r="G31" i="17"/>
  <c r="D31" i="17" s="1"/>
  <c r="K31" i="17"/>
  <c r="P31" i="17"/>
  <c r="T31" i="17"/>
  <c r="F24" i="10"/>
  <c r="G24" i="10"/>
  <c r="H24" i="10"/>
  <c r="I24" i="10"/>
  <c r="J24" i="10"/>
  <c r="K24" i="10"/>
  <c r="L24" i="10"/>
  <c r="N24" i="10"/>
  <c r="O24" i="10"/>
  <c r="P24" i="10"/>
  <c r="Q24" i="10"/>
  <c r="R24" i="10"/>
  <c r="S24" i="10"/>
  <c r="T24" i="10"/>
  <c r="U24" i="10"/>
  <c r="V24" i="10"/>
  <c r="W24" i="10"/>
  <c r="X24" i="10"/>
  <c r="D25" i="10"/>
  <c r="D26" i="10"/>
  <c r="F28" i="10"/>
  <c r="G28" i="10"/>
  <c r="H28" i="10"/>
  <c r="I28" i="10"/>
  <c r="J28" i="10"/>
  <c r="K28" i="10"/>
  <c r="L28" i="10"/>
  <c r="N28" i="10"/>
  <c r="O28" i="10"/>
  <c r="P28" i="10"/>
  <c r="Q28" i="10"/>
  <c r="R28" i="10"/>
  <c r="S28" i="10"/>
  <c r="T28" i="10"/>
  <c r="U28" i="10"/>
  <c r="V28" i="10"/>
  <c r="W28" i="10"/>
  <c r="X28" i="10"/>
  <c r="D29" i="10"/>
  <c r="D30" i="10"/>
  <c r="F32" i="10"/>
  <c r="G32" i="10"/>
  <c r="H32" i="10"/>
  <c r="I32" i="10"/>
  <c r="J32" i="10"/>
  <c r="K32" i="10"/>
  <c r="L32" i="10"/>
  <c r="N32" i="10"/>
  <c r="O32" i="10"/>
  <c r="P32" i="10"/>
  <c r="Q32" i="10"/>
  <c r="R32" i="10"/>
  <c r="S32" i="10"/>
  <c r="T32" i="10"/>
  <c r="U32" i="10"/>
  <c r="V32" i="10"/>
  <c r="W32" i="10"/>
  <c r="X32" i="10"/>
  <c r="D33" i="10"/>
  <c r="D34" i="10"/>
  <c r="D23" i="17" l="1"/>
  <c r="D35" i="17"/>
  <c r="T31" i="10"/>
  <c r="O31" i="10"/>
  <c r="D28" i="10"/>
  <c r="V27" i="10" s="1"/>
  <c r="D24" i="10"/>
  <c r="I23" i="10" s="1"/>
  <c r="D32" i="10"/>
  <c r="V31" i="10" s="1"/>
  <c r="B23" i="9"/>
  <c r="L22" i="9"/>
  <c r="K22" i="9"/>
  <c r="J22" i="9"/>
  <c r="J15" i="9" s="1"/>
  <c r="I22" i="9"/>
  <c r="H22" i="9"/>
  <c r="G22" i="9"/>
  <c r="F22" i="9"/>
  <c r="F15" i="9" s="1"/>
  <c r="E22" i="9"/>
  <c r="B22" i="9"/>
  <c r="L21" i="9"/>
  <c r="K21" i="9"/>
  <c r="K15" i="9" s="1"/>
  <c r="J21" i="9"/>
  <c r="I21" i="9"/>
  <c r="H21" i="9"/>
  <c r="G21" i="9"/>
  <c r="G15" i="9" s="1"/>
  <c r="F21" i="9"/>
  <c r="E21" i="9"/>
  <c r="B21" i="9"/>
  <c r="L20" i="9"/>
  <c r="L15" i="9" s="1"/>
  <c r="K20" i="9"/>
  <c r="J20" i="9"/>
  <c r="I20" i="9"/>
  <c r="H20" i="9"/>
  <c r="H15" i="9" s="1"/>
  <c r="G20" i="9"/>
  <c r="F20" i="9"/>
  <c r="E20" i="9"/>
  <c r="B20" i="9"/>
  <c r="B19" i="9"/>
  <c r="B18" i="9"/>
  <c r="B17" i="9"/>
  <c r="B16" i="9"/>
  <c r="B15" i="9" s="1"/>
  <c r="I15" i="9"/>
  <c r="E15" i="9"/>
  <c r="D15" i="9"/>
  <c r="C15" i="9"/>
  <c r="B13" i="9"/>
  <c r="K12" i="9"/>
  <c r="J12" i="9"/>
  <c r="I12" i="9"/>
  <c r="H12" i="9"/>
  <c r="H5" i="9" s="1"/>
  <c r="G12" i="9"/>
  <c r="F12" i="9"/>
  <c r="E12" i="9"/>
  <c r="D12" i="9"/>
  <c r="B12" i="9" s="1"/>
  <c r="C12" i="9"/>
  <c r="K11" i="9"/>
  <c r="J11" i="9"/>
  <c r="J5" i="9" s="1"/>
  <c r="I11" i="9"/>
  <c r="H11" i="9"/>
  <c r="G11" i="9"/>
  <c r="F11" i="9"/>
  <c r="E11" i="9"/>
  <c r="D11" i="9"/>
  <c r="C11" i="9"/>
  <c r="B11" i="9"/>
  <c r="J10" i="9"/>
  <c r="I10" i="9"/>
  <c r="H10" i="9"/>
  <c r="F10" i="9"/>
  <c r="F5" i="9" s="1"/>
  <c r="E10" i="9"/>
  <c r="D10" i="9"/>
  <c r="D5" i="9" s="1"/>
  <c r="C10" i="9"/>
  <c r="B10" i="9"/>
  <c r="B9" i="9"/>
  <c r="B8" i="9"/>
  <c r="B7" i="9"/>
  <c r="B6" i="9"/>
  <c r="B5" i="9" s="1"/>
  <c r="L5" i="9"/>
  <c r="K5" i="9"/>
  <c r="I5" i="9"/>
  <c r="G5" i="9"/>
  <c r="E5" i="9"/>
  <c r="C5" i="9"/>
  <c r="F31" i="10" l="1"/>
  <c r="K31" i="10"/>
  <c r="J31" i="10"/>
  <c r="I31" i="10"/>
  <c r="J27" i="10"/>
  <c r="O23" i="10"/>
  <c r="T23" i="10"/>
  <c r="P27" i="10"/>
  <c r="Q23" i="10"/>
  <c r="N23" i="10"/>
  <c r="H27" i="10"/>
  <c r="L27" i="10"/>
  <c r="Q27" i="10"/>
  <c r="U27" i="10"/>
  <c r="S23" i="10"/>
  <c r="O27" i="10"/>
  <c r="G23" i="10"/>
  <c r="X23" i="10"/>
  <c r="T27" i="10"/>
  <c r="P31" i="10"/>
  <c r="U23" i="10"/>
  <c r="R31" i="10"/>
  <c r="R23" i="10"/>
  <c r="N31" i="10"/>
  <c r="W23" i="10"/>
  <c r="S27" i="10"/>
  <c r="K23" i="10"/>
  <c r="G27" i="10"/>
  <c r="X27" i="10"/>
  <c r="H23" i="10"/>
  <c r="N27" i="10"/>
  <c r="W31" i="10"/>
  <c r="V23" i="10"/>
  <c r="F23" i="10"/>
  <c r="U31" i="10"/>
  <c r="H31" i="10"/>
  <c r="L31" i="10"/>
  <c r="Q31" i="10"/>
  <c r="J23" i="10"/>
  <c r="F27" i="10"/>
  <c r="W27" i="10"/>
  <c r="S31" i="10"/>
  <c r="P23" i="10"/>
  <c r="K27" i="10"/>
  <c r="G31" i="10"/>
  <c r="L23" i="10"/>
  <c r="R27" i="10"/>
  <c r="I27" i="10"/>
  <c r="X31" i="10"/>
  <c r="C41" i="8"/>
  <c r="F41" i="8" s="1"/>
  <c r="C39" i="8"/>
  <c r="F39" i="8" s="1"/>
  <c r="C37" i="8"/>
  <c r="F37" i="8" s="1"/>
  <c r="C35" i="8"/>
  <c r="F35" i="8" s="1"/>
  <c r="C33" i="8"/>
  <c r="F33" i="8" s="1"/>
  <c r="C31" i="8"/>
  <c r="F31" i="8" s="1"/>
  <c r="C29" i="8"/>
  <c r="F29" i="8" s="1"/>
  <c r="C27" i="8"/>
  <c r="F27" i="8" s="1"/>
  <c r="C25" i="8"/>
  <c r="F25" i="8" s="1"/>
  <c r="C23" i="8"/>
  <c r="F23" i="8" s="1"/>
  <c r="C21" i="8"/>
  <c r="F21" i="8" s="1"/>
  <c r="C19" i="8"/>
  <c r="F19" i="8" s="1"/>
  <c r="C17" i="8"/>
  <c r="C13" i="8"/>
  <c r="F13" i="8" s="1"/>
  <c r="F11" i="8"/>
  <c r="C11" i="8"/>
  <c r="D31" i="10" l="1"/>
  <c r="D27" i="10"/>
  <c r="D23" i="10"/>
  <c r="I47" i="19"/>
  <c r="E47" i="19"/>
  <c r="I46" i="19"/>
  <c r="E46" i="19"/>
  <c r="V45" i="19"/>
  <c r="T45" i="19"/>
  <c r="Q45" i="19"/>
  <c r="I45" i="19"/>
  <c r="E45" i="19"/>
  <c r="T44" i="19"/>
  <c r="V44" i="19" s="1"/>
  <c r="Q44" i="19"/>
  <c r="I44" i="19"/>
  <c r="E44" i="19"/>
  <c r="V43" i="19"/>
  <c r="T43" i="19"/>
  <c r="Q43" i="19"/>
  <c r="I43" i="19"/>
  <c r="E43" i="19"/>
  <c r="T42" i="19"/>
  <c r="V42" i="19" s="1"/>
  <c r="I42" i="19"/>
  <c r="E42" i="19"/>
  <c r="T41" i="19"/>
  <c r="V41" i="19" s="1"/>
  <c r="Q41" i="19"/>
  <c r="I41" i="19"/>
  <c r="E41" i="19"/>
  <c r="V40" i="19"/>
  <c r="T40" i="19"/>
  <c r="Q40" i="19"/>
  <c r="I40" i="19"/>
  <c r="E40" i="19"/>
  <c r="T39" i="19"/>
  <c r="V39" i="19" s="1"/>
  <c r="Q39" i="19"/>
  <c r="I39" i="19"/>
  <c r="E39" i="19"/>
  <c r="V38" i="19"/>
  <c r="T38" i="19"/>
  <c r="Q38" i="19"/>
  <c r="E38" i="19"/>
  <c r="V37" i="19"/>
  <c r="T37" i="19"/>
  <c r="Q37" i="19"/>
  <c r="I37" i="19"/>
  <c r="V36" i="19"/>
  <c r="T36" i="19"/>
  <c r="Q36" i="19"/>
  <c r="I36" i="19"/>
  <c r="E36" i="19"/>
  <c r="T35" i="19"/>
  <c r="V35" i="19" s="1"/>
  <c r="Q35" i="19"/>
  <c r="E35" i="19"/>
  <c r="T34" i="19"/>
  <c r="V34" i="19" s="1"/>
  <c r="Q34" i="19"/>
  <c r="E34" i="19"/>
  <c r="T33" i="19"/>
  <c r="V33" i="19" s="1"/>
  <c r="Q33" i="19"/>
  <c r="I33" i="19"/>
  <c r="T32" i="19"/>
  <c r="V32" i="19" s="1"/>
  <c r="Q32" i="19"/>
  <c r="I32" i="19"/>
  <c r="E32" i="19"/>
  <c r="T31" i="19"/>
  <c r="Q31" i="19"/>
  <c r="I31" i="19"/>
  <c r="E31" i="19"/>
  <c r="T23" i="19"/>
  <c r="O23" i="19"/>
  <c r="P23" i="19" s="1"/>
  <c r="T22" i="19"/>
  <c r="O22" i="19"/>
  <c r="P22" i="19" s="1"/>
  <c r="T21" i="19"/>
  <c r="O21" i="19"/>
  <c r="P21" i="19" s="1"/>
  <c r="T20" i="19"/>
  <c r="T19" i="19"/>
  <c r="O19" i="19"/>
  <c r="P19" i="19" s="1"/>
  <c r="T18" i="19"/>
  <c r="O18" i="19"/>
  <c r="P18" i="19" s="1"/>
  <c r="T17" i="19"/>
  <c r="O17" i="19"/>
  <c r="P17" i="19" s="1"/>
  <c r="T16" i="19"/>
  <c r="O16" i="19"/>
  <c r="P16" i="19" s="1"/>
  <c r="O15" i="19"/>
  <c r="P15" i="19" s="1"/>
  <c r="T14" i="19"/>
  <c r="O14" i="19"/>
  <c r="P14" i="19" s="1"/>
  <c r="T13" i="19"/>
  <c r="O13" i="19"/>
  <c r="P13" i="19" s="1"/>
  <c r="T12" i="19"/>
  <c r="O12" i="19"/>
  <c r="P12" i="19" s="1"/>
  <c r="T11" i="19"/>
  <c r="O11" i="19"/>
  <c r="P11" i="19" s="1"/>
  <c r="T10" i="19"/>
  <c r="O10" i="19"/>
  <c r="P10" i="19" s="1"/>
  <c r="P9" i="19"/>
  <c r="O9" i="19"/>
  <c r="P21" i="7"/>
  <c r="T41" i="7" l="1"/>
  <c r="T40" i="7"/>
  <c r="T42" i="7"/>
  <c r="V42" i="7" s="1"/>
  <c r="T39" i="7"/>
  <c r="T38" i="7"/>
  <c r="T37" i="7"/>
  <c r="T36" i="7"/>
  <c r="T35" i="7"/>
  <c r="T34" i="7"/>
  <c r="T33" i="7"/>
  <c r="T32" i="7"/>
  <c r="T31" i="7"/>
  <c r="V31" i="7" s="1"/>
  <c r="V32" i="7" l="1"/>
  <c r="V33" i="7"/>
  <c r="V34" i="7"/>
  <c r="V35" i="7"/>
  <c r="V36" i="7"/>
  <c r="V37" i="7"/>
  <c r="V38" i="7"/>
  <c r="V39" i="7"/>
  <c r="V40" i="7"/>
  <c r="V41" i="7"/>
  <c r="T43" i="7"/>
  <c r="V43" i="7" s="1"/>
  <c r="T44" i="7"/>
  <c r="V44" i="7" s="1"/>
  <c r="T45" i="7"/>
  <c r="V45" i="7" s="1"/>
  <c r="B25" i="4" l="1"/>
  <c r="B24" i="4"/>
  <c r="B22" i="4"/>
  <c r="B14" i="4"/>
  <c r="B13" i="4"/>
  <c r="B11" i="4"/>
  <c r="B10" i="4"/>
  <c r="B9" i="4"/>
  <c r="L6" i="4"/>
  <c r="L10" i="4"/>
  <c r="L11" i="4"/>
  <c r="L12" i="4"/>
  <c r="L13" i="4"/>
  <c r="L14" i="4"/>
  <c r="L15" i="4"/>
  <c r="L16" i="4"/>
  <c r="L17" i="4"/>
  <c r="L18" i="4"/>
  <c r="L19" i="4"/>
  <c r="L20" i="4"/>
  <c r="L21" i="4"/>
  <c r="L22" i="4"/>
  <c r="L23" i="4"/>
  <c r="L24" i="4"/>
  <c r="L25" i="4"/>
  <c r="L26" i="4"/>
  <c r="L27" i="4"/>
  <c r="L9" i="4"/>
  <c r="K6" i="4"/>
  <c r="B23" i="4" l="1"/>
  <c r="B21" i="4"/>
  <c r="B20" i="4"/>
  <c r="B19" i="4"/>
  <c r="B18" i="4"/>
  <c r="B16" i="4"/>
  <c r="B15" i="4"/>
  <c r="B12" i="4"/>
  <c r="B8" i="4"/>
  <c r="B26" i="4"/>
  <c r="H81" i="20" l="1"/>
  <c r="G47" i="3" l="1"/>
  <c r="L47" i="2" l="1"/>
  <c r="K47" i="2"/>
  <c r="J46" i="2"/>
  <c r="J45" i="2"/>
  <c r="J44" i="2"/>
  <c r="J43" i="2"/>
  <c r="J42" i="2"/>
  <c r="L40" i="2"/>
  <c r="K40" i="2"/>
  <c r="J39" i="2"/>
  <c r="J38" i="2"/>
  <c r="J37" i="2"/>
  <c r="J36" i="2"/>
  <c r="J35" i="2"/>
  <c r="L33" i="2"/>
  <c r="K33" i="2"/>
  <c r="J32" i="2"/>
  <c r="J31" i="2"/>
  <c r="J30" i="2"/>
  <c r="J29" i="2"/>
  <c r="N28" i="2"/>
  <c r="J28" i="2"/>
  <c r="O26" i="2"/>
  <c r="L26" i="2"/>
  <c r="K26" i="2"/>
  <c r="N25" i="2"/>
  <c r="J25" i="2"/>
  <c r="N24" i="2"/>
  <c r="J24" i="2"/>
  <c r="N23" i="2"/>
  <c r="J23" i="2"/>
  <c r="N22" i="2"/>
  <c r="J22" i="2"/>
  <c r="N21" i="2"/>
  <c r="J21" i="2"/>
  <c r="P19" i="2"/>
  <c r="O19" i="2"/>
  <c r="K19" i="2"/>
  <c r="N18" i="2"/>
  <c r="J18" i="2"/>
  <c r="N17" i="2"/>
  <c r="J17" i="2"/>
  <c r="N16" i="2"/>
  <c r="J16" i="2"/>
  <c r="N15" i="2"/>
  <c r="J15" i="2"/>
  <c r="N14" i="2"/>
  <c r="J14" i="2"/>
  <c r="P12" i="2"/>
  <c r="O12" i="2"/>
  <c r="L12" i="2"/>
  <c r="K12" i="2"/>
  <c r="N11" i="2"/>
  <c r="J11" i="2"/>
  <c r="N10" i="2"/>
  <c r="J10" i="2"/>
  <c r="N9" i="2"/>
  <c r="J9" i="2"/>
  <c r="N8" i="2"/>
  <c r="J8" i="2"/>
  <c r="N7" i="2"/>
  <c r="J7" i="2"/>
  <c r="N12" i="2" l="1"/>
  <c r="J26" i="2"/>
  <c r="J12" i="2"/>
  <c r="J47" i="2"/>
  <c r="J40" i="2"/>
  <c r="J33" i="2"/>
  <c r="N26" i="2"/>
  <c r="O35" i="2"/>
  <c r="N19" i="2"/>
  <c r="J19" i="2"/>
  <c r="P40" i="2"/>
  <c r="P36" i="2"/>
  <c r="P34" i="2"/>
  <c r="P35" i="2"/>
  <c r="O40" i="2"/>
  <c r="O36" i="2"/>
  <c r="O34" i="2"/>
  <c r="F34" i="3"/>
  <c r="F19" i="3"/>
  <c r="F17" i="3"/>
  <c r="F15" i="3"/>
  <c r="F11" i="3"/>
  <c r="F9" i="3"/>
  <c r="F8" i="3"/>
  <c r="N40" i="2" l="1"/>
  <c r="N34" i="2"/>
  <c r="N35" i="2"/>
  <c r="N36" i="2"/>
  <c r="B43" i="14"/>
  <c r="B42" i="14"/>
  <c r="H39" i="21"/>
  <c r="E39" i="21"/>
  <c r="H38" i="21"/>
  <c r="E38" i="21"/>
  <c r="H37" i="21"/>
  <c r="E37" i="21"/>
  <c r="H36" i="21"/>
  <c r="E36" i="21"/>
  <c r="H35" i="21"/>
  <c r="E35" i="21"/>
  <c r="H34" i="21"/>
  <c r="E34" i="21"/>
  <c r="H33" i="21"/>
  <c r="E33" i="21"/>
  <c r="H32" i="21"/>
  <c r="E32" i="21"/>
  <c r="H31" i="21"/>
  <c r="E31" i="21"/>
  <c r="H30" i="21"/>
  <c r="E30" i="21"/>
  <c r="H29" i="21"/>
  <c r="E29" i="21"/>
  <c r="H28" i="21"/>
  <c r="E28" i="21"/>
  <c r="H27" i="21"/>
  <c r="E27" i="21"/>
  <c r="H26" i="21"/>
  <c r="E26" i="21"/>
  <c r="H25" i="21"/>
  <c r="E25" i="21"/>
  <c r="H45" i="14"/>
  <c r="E45" i="14"/>
  <c r="B45" i="14"/>
  <c r="H44" i="14"/>
  <c r="E44" i="14"/>
  <c r="B44" i="14"/>
  <c r="H43" i="14"/>
  <c r="H42" i="14"/>
  <c r="E42" i="14"/>
  <c r="H41" i="14"/>
  <c r="E41" i="14"/>
  <c r="B41" i="14"/>
  <c r="H40" i="14"/>
  <c r="E40" i="14"/>
  <c r="B40" i="14"/>
  <c r="H39" i="14"/>
  <c r="E39" i="14"/>
  <c r="B39" i="14"/>
  <c r="H38" i="14"/>
  <c r="E38" i="14"/>
  <c r="B38" i="14"/>
  <c r="H37" i="14"/>
  <c r="E37" i="14"/>
  <c r="B37" i="14"/>
  <c r="C29" i="14"/>
  <c r="C28" i="14"/>
  <c r="C27" i="14"/>
  <c r="C26" i="14"/>
  <c r="C25" i="14"/>
  <c r="C24" i="14"/>
  <c r="C23" i="14"/>
  <c r="C22" i="14"/>
  <c r="C21" i="14"/>
  <c r="I21" i="14" s="1"/>
  <c r="G14" i="14"/>
  <c r="G13" i="14"/>
  <c r="I13" i="14" s="1"/>
  <c r="F13" i="14"/>
  <c r="G12" i="14"/>
  <c r="I12" i="14" s="1"/>
  <c r="F12" i="14"/>
  <c r="G11" i="14"/>
  <c r="I11" i="14" s="1"/>
  <c r="F11" i="14"/>
  <c r="G10" i="14"/>
  <c r="I10" i="14" s="1"/>
  <c r="F10" i="14"/>
  <c r="G9" i="14"/>
  <c r="I9" i="14" s="1"/>
  <c r="F9" i="14"/>
  <c r="G8" i="14"/>
  <c r="I8" i="14" s="1"/>
  <c r="F8" i="14"/>
  <c r="G7" i="14"/>
  <c r="I7" i="14" s="1"/>
  <c r="F7" i="14"/>
  <c r="F6" i="14"/>
  <c r="H5" i="20"/>
  <c r="J6" i="20"/>
  <c r="J7" i="20"/>
  <c r="J8" i="20"/>
  <c r="J9" i="20"/>
  <c r="J10" i="20"/>
  <c r="J11" i="20"/>
  <c r="J12" i="20"/>
  <c r="J13" i="20"/>
  <c r="J14" i="20"/>
  <c r="J5" i="20"/>
  <c r="I6" i="20"/>
  <c r="I7" i="20"/>
  <c r="I8" i="20"/>
  <c r="I9" i="20"/>
  <c r="I10" i="20"/>
  <c r="I11" i="20"/>
  <c r="I12" i="20"/>
  <c r="I13" i="20"/>
  <c r="I14" i="20"/>
  <c r="I5" i="20"/>
  <c r="H6" i="20"/>
  <c r="H7" i="20"/>
  <c r="H8" i="20"/>
  <c r="H9" i="20"/>
  <c r="H10" i="20"/>
  <c r="H11" i="20"/>
  <c r="H12" i="20"/>
  <c r="H13" i="20"/>
  <c r="H14" i="20"/>
  <c r="I18" i="20"/>
  <c r="I19" i="20"/>
  <c r="I20" i="20"/>
  <c r="I21" i="20"/>
  <c r="I22" i="20"/>
  <c r="I23" i="20"/>
  <c r="I24" i="20"/>
  <c r="I25" i="20"/>
  <c r="I26" i="20"/>
  <c r="I27" i="20"/>
  <c r="I28" i="20"/>
  <c r="I29" i="20"/>
  <c r="I30" i="20"/>
  <c r="I17" i="20"/>
  <c r="L5" i="20" l="1"/>
  <c r="C27" i="21"/>
  <c r="C31" i="21"/>
  <c r="C35" i="21"/>
  <c r="C37" i="21"/>
  <c r="I32" i="20"/>
  <c r="G22" i="14"/>
  <c r="G23" i="14"/>
  <c r="I23" i="14" s="1"/>
  <c r="G27" i="14"/>
  <c r="I27" i="14" s="1"/>
  <c r="G25" i="14"/>
  <c r="I25" i="14" s="1"/>
  <c r="G29" i="14"/>
  <c r="I29" i="14" s="1"/>
  <c r="L11" i="20"/>
  <c r="L7" i="20"/>
  <c r="F14" i="14"/>
  <c r="L13" i="20"/>
  <c r="L9" i="20"/>
  <c r="C28" i="21"/>
  <c r="C30" i="21"/>
  <c r="C32" i="21"/>
  <c r="C36" i="21"/>
  <c r="C38" i="21"/>
  <c r="C39" i="21"/>
  <c r="C26" i="21"/>
  <c r="C34" i="21"/>
  <c r="I22" i="14"/>
  <c r="G24" i="14"/>
  <c r="I24" i="14" s="1"/>
  <c r="G26" i="14"/>
  <c r="I26" i="14" s="1"/>
  <c r="G28" i="14"/>
  <c r="I28" i="14" s="1"/>
  <c r="F22" i="14"/>
  <c r="F24" i="14"/>
  <c r="F26" i="14"/>
  <c r="F28" i="14"/>
  <c r="C29" i="21"/>
  <c r="L10" i="20"/>
  <c r="L8" i="20"/>
  <c r="F21" i="14"/>
  <c r="F23" i="14"/>
  <c r="F25" i="14"/>
  <c r="F27" i="14"/>
  <c r="F29" i="14"/>
  <c r="C25" i="21"/>
  <c r="C33" i="21"/>
  <c r="L12" i="20"/>
  <c r="L6" i="20"/>
  <c r="I9" i="4"/>
  <c r="G6" i="6"/>
  <c r="C4" i="6"/>
  <c r="K16" i="6" s="1"/>
  <c r="C15" i="14"/>
  <c r="E47" i="3"/>
  <c r="F48" i="3"/>
  <c r="I48" i="3" s="1"/>
  <c r="F49" i="3"/>
  <c r="F50" i="3"/>
  <c r="I50" i="3" s="1"/>
  <c r="F51" i="3"/>
  <c r="I51" i="3" s="1"/>
  <c r="F52" i="3"/>
  <c r="I52" i="3" s="1"/>
  <c r="F53" i="3"/>
  <c r="F54" i="3"/>
  <c r="I54" i="3" s="1"/>
  <c r="F55" i="3"/>
  <c r="I55" i="3" s="1"/>
  <c r="F40" i="3"/>
  <c r="I40" i="3" s="1"/>
  <c r="F41" i="3"/>
  <c r="F42" i="3"/>
  <c r="I42" i="3" s="1"/>
  <c r="F43" i="3"/>
  <c r="I43" i="3" s="1"/>
  <c r="F44" i="3"/>
  <c r="F45" i="3"/>
  <c r="I45" i="3" s="1"/>
  <c r="F46" i="3"/>
  <c r="I34" i="3"/>
  <c r="F35" i="3"/>
  <c r="F36" i="3"/>
  <c r="I36" i="3" s="1"/>
  <c r="F37" i="3"/>
  <c r="I37" i="3" s="1"/>
  <c r="F38" i="3"/>
  <c r="I38" i="3" s="1"/>
  <c r="F29" i="3"/>
  <c r="I29" i="3" s="1"/>
  <c r="F30" i="3"/>
  <c r="F31" i="3"/>
  <c r="F32" i="3"/>
  <c r="I32" i="3" s="1"/>
  <c r="F23" i="3"/>
  <c r="I23" i="3" s="1"/>
  <c r="F24" i="3"/>
  <c r="I24" i="3" s="1"/>
  <c r="F25" i="3"/>
  <c r="I25" i="3" s="1"/>
  <c r="I26" i="3"/>
  <c r="F27" i="3"/>
  <c r="I27" i="3" s="1"/>
  <c r="F43" i="2"/>
  <c r="F44" i="2"/>
  <c r="F45" i="2"/>
  <c r="F46" i="2"/>
  <c r="F42" i="2"/>
  <c r="F36" i="2"/>
  <c r="F37" i="2"/>
  <c r="F38" i="2"/>
  <c r="F39" i="2"/>
  <c r="F35" i="2"/>
  <c r="F29" i="2"/>
  <c r="F30" i="2"/>
  <c r="F31" i="2"/>
  <c r="F32" i="2"/>
  <c r="F28" i="2"/>
  <c r="F22" i="2"/>
  <c r="F23" i="2"/>
  <c r="F24" i="2"/>
  <c r="F25" i="2"/>
  <c r="F21" i="2"/>
  <c r="F15" i="2"/>
  <c r="F16" i="2"/>
  <c r="F17" i="2"/>
  <c r="F18" i="2"/>
  <c r="F14" i="2"/>
  <c r="F8" i="2"/>
  <c r="F9" i="2"/>
  <c r="F10" i="2"/>
  <c r="F11" i="2"/>
  <c r="F7" i="2"/>
  <c r="B43" i="2"/>
  <c r="B44" i="2"/>
  <c r="B45" i="2"/>
  <c r="B46" i="2"/>
  <c r="B42" i="2"/>
  <c r="B36" i="2"/>
  <c r="B37" i="2"/>
  <c r="B38" i="2"/>
  <c r="B39" i="2"/>
  <c r="B35" i="2"/>
  <c r="B29" i="2"/>
  <c r="B30" i="2"/>
  <c r="B31" i="2"/>
  <c r="B32" i="2"/>
  <c r="B28" i="2"/>
  <c r="B22" i="2"/>
  <c r="B23" i="2"/>
  <c r="B24" i="2"/>
  <c r="B25" i="2"/>
  <c r="B21" i="2"/>
  <c r="B15" i="2"/>
  <c r="B16" i="2"/>
  <c r="B17" i="2"/>
  <c r="B18" i="2"/>
  <c r="B14" i="2"/>
  <c r="B8" i="2"/>
  <c r="B9" i="2"/>
  <c r="B10" i="2"/>
  <c r="B11" i="2"/>
  <c r="B7" i="2"/>
  <c r="F30" i="14"/>
  <c r="H46" i="14"/>
  <c r="E46" i="14"/>
  <c r="B46" i="14"/>
  <c r="G30" i="14"/>
  <c r="I30" i="14" s="1"/>
  <c r="K4" i="21"/>
  <c r="J4" i="21"/>
  <c r="I4" i="21"/>
  <c r="H4" i="21"/>
  <c r="G4" i="21"/>
  <c r="F4" i="21"/>
  <c r="E4" i="21"/>
  <c r="Q45" i="7"/>
  <c r="I47" i="7"/>
  <c r="I46" i="7"/>
  <c r="I45" i="7"/>
  <c r="I44" i="7"/>
  <c r="I43" i="7"/>
  <c r="Q39" i="7"/>
  <c r="I42" i="7"/>
  <c r="I41" i="7"/>
  <c r="I40" i="7"/>
  <c r="I39" i="7"/>
  <c r="I37" i="7"/>
  <c r="I36" i="7"/>
  <c r="I33" i="7"/>
  <c r="I32" i="7"/>
  <c r="Q31" i="7"/>
  <c r="I31" i="7"/>
  <c r="O23" i="7"/>
  <c r="P23" i="7" s="1"/>
  <c r="O17" i="7"/>
  <c r="P17" i="7" s="1"/>
  <c r="O13" i="7"/>
  <c r="P13" i="7" s="1"/>
  <c r="I26" i="4"/>
  <c r="I17" i="4"/>
  <c r="C26" i="2"/>
  <c r="P20" i="15"/>
  <c r="N20" i="15"/>
  <c r="L20" i="15"/>
  <c r="P19" i="15"/>
  <c r="N19" i="15"/>
  <c r="L19" i="15"/>
  <c r="P18" i="15"/>
  <c r="N18" i="15"/>
  <c r="L18" i="15"/>
  <c r="P17" i="15"/>
  <c r="N17" i="15"/>
  <c r="L17" i="15"/>
  <c r="P16" i="15"/>
  <c r="N16" i="15"/>
  <c r="L16" i="15"/>
  <c r="P15" i="15"/>
  <c r="N15" i="15"/>
  <c r="P14" i="15"/>
  <c r="N14" i="15"/>
  <c r="L14" i="15"/>
  <c r="P13" i="15"/>
  <c r="N13" i="15"/>
  <c r="L13" i="15"/>
  <c r="P12" i="15"/>
  <c r="N12" i="15"/>
  <c r="L12" i="15"/>
  <c r="P11" i="15"/>
  <c r="N11" i="15"/>
  <c r="L11" i="15"/>
  <c r="P10" i="15"/>
  <c r="N10" i="15"/>
  <c r="L10" i="15"/>
  <c r="X36" i="10"/>
  <c r="W36" i="10"/>
  <c r="V36" i="10"/>
  <c r="U36" i="10"/>
  <c r="T36" i="10"/>
  <c r="S36" i="10"/>
  <c r="R36" i="10"/>
  <c r="Q36" i="10"/>
  <c r="P36" i="10"/>
  <c r="O36" i="10"/>
  <c r="N36" i="10"/>
  <c r="C33" i="2"/>
  <c r="C19" i="2"/>
  <c r="C12" i="2"/>
  <c r="L14" i="20"/>
  <c r="K135" i="20"/>
  <c r="K134" i="20"/>
  <c r="K133" i="20"/>
  <c r="K132" i="20"/>
  <c r="K131" i="20"/>
  <c r="K130" i="20"/>
  <c r="K129" i="20"/>
  <c r="K128" i="20"/>
  <c r="K127" i="20"/>
  <c r="K126" i="20"/>
  <c r="J135" i="20"/>
  <c r="J134" i="20"/>
  <c r="J133" i="20"/>
  <c r="J132" i="20"/>
  <c r="J131" i="20"/>
  <c r="J130" i="20"/>
  <c r="J129" i="20"/>
  <c r="J128" i="20"/>
  <c r="J127" i="20"/>
  <c r="J126" i="20"/>
  <c r="I135" i="20"/>
  <c r="I134" i="20"/>
  <c r="I133" i="20"/>
  <c r="I132" i="20"/>
  <c r="I131" i="20"/>
  <c r="I130" i="20"/>
  <c r="I129" i="20"/>
  <c r="I128" i="20"/>
  <c r="I127" i="20"/>
  <c r="I126" i="20"/>
  <c r="K199" i="20"/>
  <c r="K198" i="20"/>
  <c r="I199" i="20"/>
  <c r="J199" i="20"/>
  <c r="J198" i="20"/>
  <c r="I198" i="20"/>
  <c r="K189" i="20"/>
  <c r="K188" i="20"/>
  <c r="J190" i="20"/>
  <c r="J189" i="20"/>
  <c r="J188" i="20"/>
  <c r="I190" i="20"/>
  <c r="I189" i="20"/>
  <c r="I188" i="20"/>
  <c r="L49" i="6"/>
  <c r="N42" i="6" s="1"/>
  <c r="H27" i="4"/>
  <c r="H24" i="4"/>
  <c r="H23" i="4"/>
  <c r="H22" i="4"/>
  <c r="H21" i="4"/>
  <c r="H20" i="4"/>
  <c r="H19" i="4"/>
  <c r="H18" i="4"/>
  <c r="H16" i="4"/>
  <c r="H15" i="4"/>
  <c r="H14" i="4"/>
  <c r="H13" i="4"/>
  <c r="H12" i="4"/>
  <c r="H11" i="4"/>
  <c r="H9" i="4"/>
  <c r="E7" i="3"/>
  <c r="E22" i="3"/>
  <c r="E28" i="3"/>
  <c r="E33" i="3"/>
  <c r="E39" i="3"/>
  <c r="F13" i="3"/>
  <c r="I13" i="3" s="1"/>
  <c r="G7" i="3"/>
  <c r="G22" i="3"/>
  <c r="G28" i="3"/>
  <c r="G33" i="3"/>
  <c r="G39" i="3"/>
  <c r="H7" i="3"/>
  <c r="H22" i="3"/>
  <c r="H28" i="3"/>
  <c r="H33" i="3"/>
  <c r="H39" i="3"/>
  <c r="H47" i="3"/>
  <c r="H34" i="15"/>
  <c r="D34" i="15"/>
  <c r="C34" i="15" s="1"/>
  <c r="H31" i="15"/>
  <c r="D31" i="15"/>
  <c r="C31" i="15" s="1"/>
  <c r="H28" i="15"/>
  <c r="D28" i="15"/>
  <c r="C6" i="12"/>
  <c r="C7" i="12"/>
  <c r="C9" i="12"/>
  <c r="C10" i="12"/>
  <c r="C11" i="12"/>
  <c r="C12" i="12"/>
  <c r="C13" i="12"/>
  <c r="C14" i="12"/>
  <c r="C15" i="12"/>
  <c r="C16" i="12"/>
  <c r="C18" i="12"/>
  <c r="G25" i="12"/>
  <c r="G26" i="12"/>
  <c r="G27" i="12"/>
  <c r="G28" i="12"/>
  <c r="G29" i="12"/>
  <c r="G30" i="12"/>
  <c r="G31" i="12"/>
  <c r="G32" i="12"/>
  <c r="I158" i="20"/>
  <c r="J158" i="20" s="1"/>
  <c r="I157" i="20"/>
  <c r="J157" i="20" s="1"/>
  <c r="G10" i="15"/>
  <c r="G11" i="15"/>
  <c r="J11" i="15"/>
  <c r="G12" i="15"/>
  <c r="J12" i="15" s="1"/>
  <c r="G14" i="15"/>
  <c r="J14" i="15" s="1"/>
  <c r="G15" i="15"/>
  <c r="J15" i="15" s="1"/>
  <c r="G16" i="15"/>
  <c r="J16" i="15" s="1"/>
  <c r="G17" i="15"/>
  <c r="J17" i="15" s="1"/>
  <c r="G18" i="15"/>
  <c r="J18" i="15" s="1"/>
  <c r="G19" i="15"/>
  <c r="J19" i="15" s="1"/>
  <c r="G20" i="15"/>
  <c r="K190" i="20"/>
  <c r="F36" i="10"/>
  <c r="G36" i="10"/>
  <c r="H36" i="10"/>
  <c r="I36" i="10"/>
  <c r="J36" i="10"/>
  <c r="K36" i="10"/>
  <c r="L36" i="10"/>
  <c r="C25" i="9"/>
  <c r="D25" i="9"/>
  <c r="E25" i="9"/>
  <c r="H25" i="9"/>
  <c r="K25" i="9"/>
  <c r="G25" i="9"/>
  <c r="J25" i="9"/>
  <c r="F25" i="9"/>
  <c r="I25" i="9"/>
  <c r="E39" i="9"/>
  <c r="G39" i="9"/>
  <c r="H39" i="9"/>
  <c r="I39" i="9"/>
  <c r="J39" i="9"/>
  <c r="K39" i="9"/>
  <c r="L39" i="9"/>
  <c r="F41" i="9"/>
  <c r="F42" i="9"/>
  <c r="F43" i="9"/>
  <c r="F44" i="9"/>
  <c r="F45" i="9"/>
  <c r="F46" i="9"/>
  <c r="F47" i="9"/>
  <c r="H13" i="8"/>
  <c r="H27" i="8"/>
  <c r="Q32" i="7"/>
  <c r="T11" i="7"/>
  <c r="Q34" i="7"/>
  <c r="Q35" i="7"/>
  <c r="O14" i="7"/>
  <c r="P14" i="7" s="1"/>
  <c r="Q37" i="7"/>
  <c r="T16" i="7"/>
  <c r="T17" i="7"/>
  <c r="Q40" i="7"/>
  <c r="T19" i="7"/>
  <c r="T20" i="7"/>
  <c r="Q43" i="7"/>
  <c r="T22" i="7"/>
  <c r="T23" i="7"/>
  <c r="E31" i="7"/>
  <c r="E32" i="7"/>
  <c r="E34" i="7"/>
  <c r="E35" i="7"/>
  <c r="E36" i="7"/>
  <c r="E38" i="7"/>
  <c r="E39" i="7"/>
  <c r="E40" i="7"/>
  <c r="E41" i="7"/>
  <c r="E42" i="7"/>
  <c r="E43" i="7"/>
  <c r="E44" i="7"/>
  <c r="E45" i="7"/>
  <c r="E46" i="7"/>
  <c r="E47" i="7"/>
  <c r="E4" i="6"/>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C16" i="6"/>
  <c r="E16" i="6"/>
  <c r="J20" i="6"/>
  <c r="L20" i="6"/>
  <c r="E49" i="6"/>
  <c r="G38" i="6" s="1"/>
  <c r="D6" i="4"/>
  <c r="F9" i="4"/>
  <c r="G9" i="4" s="1"/>
  <c r="F10" i="4"/>
  <c r="G10" i="4" s="1"/>
  <c r="I10" i="4"/>
  <c r="F11" i="4"/>
  <c r="G11" i="4" s="1"/>
  <c r="I11" i="4"/>
  <c r="F12" i="4"/>
  <c r="G12" i="4" s="1"/>
  <c r="I12" i="4"/>
  <c r="F13" i="4"/>
  <c r="G13" i="4" s="1"/>
  <c r="I13" i="4"/>
  <c r="F14" i="4"/>
  <c r="G14" i="4" s="1"/>
  <c r="I14" i="4"/>
  <c r="F15" i="4"/>
  <c r="G15" i="4" s="1"/>
  <c r="I15" i="4"/>
  <c r="F16" i="4"/>
  <c r="G16" i="4" s="1"/>
  <c r="I16" i="4"/>
  <c r="F18" i="4"/>
  <c r="G18" i="4" s="1"/>
  <c r="I18" i="4"/>
  <c r="F19" i="4"/>
  <c r="G19" i="4" s="1"/>
  <c r="I19" i="4"/>
  <c r="F20" i="4"/>
  <c r="G20" i="4" s="1"/>
  <c r="I20" i="4"/>
  <c r="F21" i="4"/>
  <c r="G21" i="4" s="1"/>
  <c r="I21" i="4"/>
  <c r="F22" i="4"/>
  <c r="G22" i="4" s="1"/>
  <c r="I22" i="4"/>
  <c r="F23" i="4"/>
  <c r="G23" i="4" s="1"/>
  <c r="I23" i="4"/>
  <c r="F24" i="4"/>
  <c r="G24" i="4" s="1"/>
  <c r="I24" i="4"/>
  <c r="F25" i="4"/>
  <c r="G25" i="4" s="1"/>
  <c r="I25" i="4"/>
  <c r="F27" i="4"/>
  <c r="G27" i="4" s="1"/>
  <c r="I27" i="4"/>
  <c r="F28" i="4"/>
  <c r="G28" i="4" s="1"/>
  <c r="I28" i="4"/>
  <c r="I9" i="3"/>
  <c r="F10" i="3"/>
  <c r="I11" i="3"/>
  <c r="F12" i="3"/>
  <c r="I12" i="3" s="1"/>
  <c r="I15" i="3"/>
  <c r="F16" i="3"/>
  <c r="I17" i="3"/>
  <c r="F18" i="3"/>
  <c r="I19" i="3"/>
  <c r="F20" i="3"/>
  <c r="I20" i="3" s="1"/>
  <c r="C40" i="2"/>
  <c r="C47" i="2"/>
  <c r="G12" i="2"/>
  <c r="G19" i="2"/>
  <c r="G26" i="2"/>
  <c r="G33" i="2"/>
  <c r="G40" i="2"/>
  <c r="G47" i="2"/>
  <c r="D12" i="2"/>
  <c r="D19" i="2"/>
  <c r="D26" i="2"/>
  <c r="D33" i="2"/>
  <c r="D40" i="2"/>
  <c r="D47" i="2"/>
  <c r="H12" i="2"/>
  <c r="D5" i="2" s="1"/>
  <c r="B5" i="2" s="1"/>
  <c r="H19" i="2"/>
  <c r="H26" i="2"/>
  <c r="H33" i="2"/>
  <c r="H40" i="2"/>
  <c r="H47" i="2"/>
  <c r="H15" i="8"/>
  <c r="F43" i="8"/>
  <c r="H41" i="8"/>
  <c r="H26" i="4"/>
  <c r="M6" i="20" l="1"/>
  <c r="K6" i="20" s="1"/>
  <c r="M12" i="20"/>
  <c r="K12" i="20" s="1"/>
  <c r="M9" i="20"/>
  <c r="K9" i="20" s="1"/>
  <c r="M10" i="20"/>
  <c r="K10" i="20" s="1"/>
  <c r="I16" i="3"/>
  <c r="F14" i="3"/>
  <c r="I14" i="3" s="1"/>
  <c r="E6" i="3"/>
  <c r="M8" i="20"/>
  <c r="K8" i="20" s="1"/>
  <c r="O38" i="2"/>
  <c r="C28" i="15"/>
  <c r="D36" i="10"/>
  <c r="P35" i="10" s="1"/>
  <c r="F19" i="2"/>
  <c r="P38" i="2"/>
  <c r="P39" i="2"/>
  <c r="P33" i="2"/>
  <c r="P32" i="2"/>
  <c r="O33" i="2"/>
  <c r="O39" i="2"/>
  <c r="N39" i="2" s="1"/>
  <c r="O32" i="2"/>
  <c r="H6" i="4"/>
  <c r="I6" i="4"/>
  <c r="T18" i="7"/>
  <c r="F15" i="14"/>
  <c r="G15" i="14"/>
  <c r="H23" i="8"/>
  <c r="H31" i="8"/>
  <c r="L25" i="9"/>
  <c r="O9" i="7"/>
  <c r="P9" i="7" s="1"/>
  <c r="O12" i="7"/>
  <c r="P12" i="7" s="1"/>
  <c r="T13" i="7"/>
  <c r="O16" i="7"/>
  <c r="P16" i="7" s="1"/>
  <c r="O22" i="7"/>
  <c r="P22" i="7" s="1"/>
  <c r="Q33" i="7"/>
  <c r="Q36" i="7"/>
  <c r="Q38" i="7"/>
  <c r="Q41" i="7"/>
  <c r="Q44" i="7"/>
  <c r="M11" i="20"/>
  <c r="K11" i="20" s="1"/>
  <c r="T10" i="7"/>
  <c r="T14" i="7"/>
  <c r="H29" i="8"/>
  <c r="O11" i="7"/>
  <c r="P11" i="7" s="1"/>
  <c r="T12" i="7"/>
  <c r="O15" i="7"/>
  <c r="P15" i="7" s="1"/>
  <c r="O19" i="7"/>
  <c r="P19" i="7" s="1"/>
  <c r="O21" i="7"/>
  <c r="H33" i="8"/>
  <c r="C39" i="9"/>
  <c r="F39" i="9"/>
  <c r="B25" i="9"/>
  <c r="O10" i="7"/>
  <c r="P10" i="7" s="1"/>
  <c r="T15" i="7"/>
  <c r="O18" i="7"/>
  <c r="P18" i="7" s="1"/>
  <c r="T21" i="7"/>
  <c r="N20" i="6"/>
  <c r="M8" i="6"/>
  <c r="F6" i="6"/>
  <c r="D6" i="6"/>
  <c r="G4" i="6"/>
  <c r="F6" i="4"/>
  <c r="G6" i="4" s="1"/>
  <c r="F33" i="3"/>
  <c r="I33" i="3" s="1"/>
  <c r="H6" i="3"/>
  <c r="G6" i="3"/>
  <c r="B19" i="2"/>
  <c r="M13" i="20"/>
  <c r="K13" i="20" s="1"/>
  <c r="M7" i="20"/>
  <c r="K7" i="20" s="1"/>
  <c r="N39" i="6"/>
  <c r="N44" i="6"/>
  <c r="N43" i="6"/>
  <c r="N37" i="6"/>
  <c r="N46" i="6"/>
  <c r="N47" i="6"/>
  <c r="N40" i="6"/>
  <c r="N41" i="6"/>
  <c r="N38" i="6"/>
  <c r="N48" i="6"/>
  <c r="N45" i="6"/>
  <c r="G41" i="6"/>
  <c r="G39" i="6"/>
  <c r="D22" i="6"/>
  <c r="F7" i="3"/>
  <c r="I7" i="3" s="1"/>
  <c r="F39" i="3"/>
  <c r="I41" i="3"/>
  <c r="F28" i="3"/>
  <c r="I31" i="3"/>
  <c r="I30" i="3"/>
  <c r="I18" i="3"/>
  <c r="I49" i="3"/>
  <c r="I46" i="3"/>
  <c r="I53" i="3"/>
  <c r="I44" i="3"/>
  <c r="I35" i="3"/>
  <c r="I10" i="3"/>
  <c r="I44" i="20"/>
  <c r="I45" i="20"/>
  <c r="F47" i="2"/>
  <c r="F33" i="2"/>
  <c r="F26" i="2"/>
  <c r="F12" i="2"/>
  <c r="F40" i="2"/>
  <c r="B47" i="2"/>
  <c r="B33" i="2"/>
  <c r="B40" i="2"/>
  <c r="B26" i="2"/>
  <c r="B12" i="2"/>
  <c r="G45" i="6"/>
  <c r="M17" i="6"/>
  <c r="D12" i="6"/>
  <c r="D10" i="6"/>
  <c r="F27" i="6"/>
  <c r="K11" i="6"/>
  <c r="K15" i="6"/>
  <c r="D8" i="6"/>
  <c r="K5" i="6"/>
  <c r="K17" i="6"/>
  <c r="D25" i="6"/>
  <c r="K7" i="6"/>
  <c r="D19" i="6"/>
  <c r="D7" i="6"/>
  <c r="K13" i="6"/>
  <c r="D28" i="6"/>
  <c r="D18" i="6"/>
  <c r="D26" i="6"/>
  <c r="D23" i="6"/>
  <c r="D9" i="6"/>
  <c r="K6" i="6"/>
  <c r="M14" i="20"/>
  <c r="K14" i="20" s="1"/>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I40" i="20"/>
  <c r="U35" i="10"/>
  <c r="G44" i="6"/>
  <c r="G40" i="6"/>
  <c r="H21" i="8"/>
  <c r="G16" i="6"/>
  <c r="F22" i="3"/>
  <c r="M11" i="6"/>
  <c r="K9" i="6"/>
  <c r="F25" i="6"/>
  <c r="M16" i="6"/>
  <c r="M6" i="6"/>
  <c r="F31" i="6"/>
  <c r="D29" i="6"/>
  <c r="D15" i="6"/>
  <c r="H25" i="8"/>
  <c r="G47" i="6"/>
  <c r="G46" i="6"/>
  <c r="H35" i="8"/>
  <c r="H37" i="8"/>
  <c r="G37" i="6"/>
  <c r="H39" i="8"/>
  <c r="G42" i="6"/>
  <c r="G43" i="6"/>
  <c r="G48" i="6"/>
  <c r="H43" i="8"/>
  <c r="F47" i="3"/>
  <c r="N38" i="2" l="1"/>
  <c r="N32" i="2"/>
  <c r="F6" i="3"/>
  <c r="X35" i="10"/>
  <c r="S35" i="10"/>
  <c r="I35" i="10"/>
  <c r="M35" i="10"/>
  <c r="K35" i="10"/>
  <c r="T35" i="10"/>
  <c r="L35" i="10"/>
  <c r="O35" i="10"/>
  <c r="G35" i="10"/>
  <c r="R35" i="10"/>
  <c r="W35" i="10"/>
  <c r="Q35" i="10"/>
  <c r="N35" i="10"/>
  <c r="V35" i="10"/>
  <c r="J35" i="10"/>
  <c r="H35" i="10"/>
  <c r="F35" i="10"/>
  <c r="N33" i="2"/>
  <c r="F16" i="6"/>
  <c r="N49" i="6"/>
  <c r="I39" i="3"/>
  <c r="I28" i="3"/>
  <c r="I22" i="3"/>
  <c r="I47" i="3"/>
  <c r="I39" i="20"/>
  <c r="N43" i="2"/>
  <c r="K32" i="14"/>
  <c r="M20" i="6"/>
  <c r="K20" i="6"/>
  <c r="D4" i="6"/>
  <c r="I38" i="20"/>
  <c r="F4" i="6"/>
  <c r="D16" i="6"/>
  <c r="G49" i="6"/>
  <c r="I46" i="20"/>
  <c r="J7" i="3" l="1"/>
  <c r="J21" i="3"/>
  <c r="D35" i="10"/>
  <c r="J50" i="3"/>
  <c r="J25" i="3"/>
  <c r="J29" i="3"/>
  <c r="J33" i="3"/>
  <c r="J37" i="3"/>
  <c r="J41" i="3"/>
  <c r="J45" i="3"/>
  <c r="J49" i="3"/>
  <c r="J54" i="3"/>
  <c r="J17" i="3"/>
  <c r="J14" i="3"/>
  <c r="J12" i="3"/>
  <c r="J9" i="3"/>
  <c r="J32" i="3"/>
  <c r="J40" i="3"/>
  <c r="J53" i="3"/>
  <c r="J22" i="3"/>
  <c r="J26" i="3"/>
  <c r="J30" i="3"/>
  <c r="J34" i="3"/>
  <c r="J38" i="3"/>
  <c r="J42" i="3"/>
  <c r="J46" i="3"/>
  <c r="J51" i="3"/>
  <c r="J55" i="3"/>
  <c r="J18" i="3"/>
  <c r="J13" i="3"/>
  <c r="J48" i="3"/>
  <c r="J20" i="3"/>
  <c r="J23" i="3"/>
  <c r="J27" i="3"/>
  <c r="J31" i="3"/>
  <c r="J35" i="3"/>
  <c r="J39" i="3"/>
  <c r="J43" i="3"/>
  <c r="J47" i="3"/>
  <c r="J52" i="3"/>
  <c r="J15" i="3"/>
  <c r="J19" i="3"/>
  <c r="J10" i="3"/>
  <c r="J8" i="3"/>
  <c r="J24" i="3"/>
  <c r="J28" i="3"/>
  <c r="J36" i="3"/>
  <c r="J44" i="3"/>
  <c r="J16" i="3"/>
  <c r="J11" i="3"/>
  <c r="O43" i="2"/>
  <c r="P45" i="2"/>
  <c r="P44" i="2"/>
  <c r="P43" i="2"/>
  <c r="O45" i="2"/>
  <c r="O44" i="2"/>
  <c r="N44" i="2"/>
  <c r="N45" i="2"/>
  <c r="I6" i="3"/>
</calcChain>
</file>

<file path=xl/comments1.xml><?xml version="1.0" encoding="utf-8"?>
<comments xmlns="http://schemas.openxmlformats.org/spreadsheetml/2006/main">
  <authors>
    <author>情報政策課</author>
  </authors>
  <commentList>
    <comment ref="B11" authorId="0" shapeId="0">
      <text>
        <r>
          <rPr>
            <b/>
            <sz val="9"/>
            <color indexed="81"/>
            <rFont val="ＭＳ Ｐゴシック"/>
            <family val="3"/>
            <charset val="128"/>
          </rPr>
          <t>H23.12.22　宇治川改修池（188.39㎡）の増分をH23年版で載せるべきだが、単位に満たないため、数値はそのまま。</t>
        </r>
      </text>
    </comment>
    <comment ref="B26" authorId="0" shapeId="0">
      <text>
        <r>
          <rPr>
            <b/>
            <sz val="9"/>
            <color indexed="81"/>
            <rFont val="ＭＳ Ｐゴシック"/>
            <family val="3"/>
            <charset val="128"/>
          </rPr>
          <t>H24.7月5日編入の西洲2丁目の埋立（25944.60㎡）・ふ頭用地分の増</t>
        </r>
      </text>
    </comment>
  </commentList>
</comments>
</file>

<file path=xl/sharedStrings.xml><?xml version="1.0" encoding="utf-8"?>
<sst xmlns="http://schemas.openxmlformats.org/spreadsheetml/2006/main" count="1604" uniqueCount="733">
  <si>
    <t>（６）</t>
    <phoneticPr fontId="18"/>
  </si>
  <si>
    <t>（7）</t>
    <phoneticPr fontId="18"/>
  </si>
  <si>
    <t>　　（6）  住民登録人口の推移　（P39参照）</t>
    <rPh sb="21" eb="23">
      <t>サンショウ</t>
    </rPh>
    <phoneticPr fontId="18"/>
  </si>
  <si>
    <t>　　　　（7）  国籍別外国人登録数　（P44参照）</t>
    <rPh sb="9" eb="11">
      <t>コクセキ</t>
    </rPh>
    <rPh sb="11" eb="12">
      <t>ベツ</t>
    </rPh>
    <rPh sb="12" eb="14">
      <t>ガイコク</t>
    </rPh>
    <rPh sb="14" eb="15">
      <t>ジン</t>
    </rPh>
    <rPh sb="17" eb="18">
      <t>カズ</t>
    </rPh>
    <rPh sb="23" eb="25">
      <t>サンショウ</t>
    </rPh>
    <phoneticPr fontId="18"/>
  </si>
  <si>
    <t>（8）</t>
    <phoneticPr fontId="18"/>
  </si>
  <si>
    <t>Ａ</t>
    <phoneticPr fontId="18"/>
  </si>
  <si>
    <t>△Ｄ</t>
    <phoneticPr fontId="18"/>
  </si>
  <si>
    <t>Ｂ</t>
    <phoneticPr fontId="18"/>
  </si>
  <si>
    <t>22年</t>
    <rPh sb="2" eb="3">
      <t>ネン</t>
    </rPh>
    <phoneticPr fontId="18"/>
  </si>
  <si>
    <t>（11）</t>
    <phoneticPr fontId="18"/>
  </si>
  <si>
    <t>（10）</t>
    <phoneticPr fontId="18"/>
  </si>
  <si>
    <t>（9）</t>
    <phoneticPr fontId="18"/>
  </si>
  <si>
    <t>増加率</t>
    <rPh sb="0" eb="2">
      <t>ゾウカ</t>
    </rPh>
    <rPh sb="2" eb="3">
      <t>リツ</t>
    </rPh>
    <phoneticPr fontId="18"/>
  </si>
  <si>
    <t>（14）</t>
    <phoneticPr fontId="18"/>
  </si>
  <si>
    <t>100歳以上</t>
    <rPh sb="3" eb="6">
      <t>サイイジョウ</t>
    </rPh>
    <phoneticPr fontId="18"/>
  </si>
  <si>
    <t>（34） 　沖縄県、市部、郡部別、人口集中地区（Ｄ・Ｉ・Ｄｓ）の年齢（５歳階級）別人口</t>
    <phoneticPr fontId="18"/>
  </si>
  <si>
    <t>（単位：世帯、人、％）</t>
  </si>
  <si>
    <t>年　　次</t>
  </si>
  <si>
    <t>世 帯 数</t>
  </si>
  <si>
    <t>対　前　年</t>
  </si>
  <si>
    <t>総　　数</t>
  </si>
  <si>
    <t>男</t>
  </si>
  <si>
    <t>女</t>
  </si>
  <si>
    <t>人口増減数</t>
  </si>
  <si>
    <t>人口増減率</t>
  </si>
  <si>
    <t>平成17年</t>
  </si>
  <si>
    <t>平成22年</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</si>
  <si>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</si>
  <si>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</si>
  <si>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</si>
  <si>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</si>
  <si>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</si>
  <si>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</si>
  <si>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</si>
  <si>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</si>
  <si>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</si>
  <si>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</si>
  <si>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</si>
  <si>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</si>
  <si>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</si>
  <si>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</si>
  <si>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</si>
  <si>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</si>
  <si>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</si>
  <si>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</si>
  <si>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</si>
  <si>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</si>
  <si>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</si>
  <si>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</si>
  <si>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</si>
  <si>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</si>
  <si>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</si>
  <si>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</si>
  <si>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</si>
  <si>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</si>
  <si>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</si>
  <si>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</si>
  <si>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</si>
  <si>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</si>
  <si>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</si>
  <si>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</si>
  <si>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</si>
  <si>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</si>
  <si>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</si>
  <si>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</si>
  <si>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</si>
  <si>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</si>
  <si>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</si>
  <si>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</si>
  <si>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</si>
  <si>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</si>
  <si>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</si>
  <si>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</si>
  <si>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</si>
  <si>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</si>
  <si>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</si>
  <si>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</si>
  <si>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</si>
  <si>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</si>
  <si>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</si>
  <si>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</si>
  <si>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</si>
  <si>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</si>
  <si>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</si>
  <si>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</si>
  <si>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</si>
  <si>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</si>
  <si>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</si>
  <si>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</si>
  <si>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</si>
  <si>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</si>
  <si>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</si>
  <si>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</si>
  <si>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</si>
  <si>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</si>
  <si>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</si>
  <si>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</si>
  <si>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</si>
  <si>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</si>
  <si>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</si>
  <si>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</si>
  <si>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</si>
  <si>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</si>
  <si>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</si>
  <si>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</si>
  <si>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</si>
  <si>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</si>
  <si>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</si>
  <si>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</si>
  <si>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</si>
  <si>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</si>
  <si>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</si>
  <si>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</si>
  <si>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</si>
  <si>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</si>
  <si>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</si>
  <si>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</si>
  <si>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</si>
  <si>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</si>
  <si>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</si>
  <si>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</si>
  <si>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</si>
  <si>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</si>
  <si>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</si>
  <si>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</si>
  <si>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</si>
  <si>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</si>
  <si>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</si>
  <si>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</si>
  <si>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</si>
  <si>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</si>
  <si>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</si>
  <si>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</si>
  <si>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</si>
  <si>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</si>
  <si>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</si>
  <si>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</si>
  <si>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</si>
  <si>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</si>
  <si>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</si>
  <si>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</si>
  <si>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</si>
  <si>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</si>
  <si>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</si>
  <si>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</si>
  <si>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</si>
  <si>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</si>
  <si>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</si>
  <si>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</si>
  <si>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</si>
  <si>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</si>
  <si>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</si>
  <si>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</si>
  <si>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</si>
  <si>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</si>
  <si>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</si>
  <si>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</si>
  <si>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</si>
  <si>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</si>
  <si>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</si>
  <si>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</si>
  <si>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</si>
  <si>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</si>
  <si>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</si>
  <si>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</si>
  <si>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</si>
  <si>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</si>
  <si>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</si>
  <si>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</si>
  <si>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</si>
  <si>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</si>
  <si>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</si>
  <si>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</si>
  <si>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</si>
  <si>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</si>
  <si>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</si>
  <si>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</si>
  <si>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</si>
  <si>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</si>
  <si>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</si>
  <si>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</si>
  <si>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</si>
  <si>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</si>
  <si>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</si>
  <si>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</si>
  <si>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</si>
  <si>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</si>
  <si>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</si>
  <si>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</si>
  <si>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</si>
  <si>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</si>
  <si>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</si>
  <si>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</si>
  <si>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</si>
  <si>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</si>
  <si>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</si>
  <si>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</si>
  <si>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</si>
  <si>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</si>
  <si>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</si>
  <si>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</si>
  <si>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</si>
  <si>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</si>
  <si>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</si>
  <si>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</si>
  <si>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</si>
  <si>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</si>
  <si>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</si>
  <si>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</si>
  <si>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</si>
  <si>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</si>
  <si>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</si>
  <si>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</si>
  <si>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</si>
  <si>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</si>
  <si>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</si>
  <si>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</si>
  <si>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</si>
  <si>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</si>
  <si>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</si>
  <si>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</si>
  <si>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</si>
  <si>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</si>
  <si>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</si>
  <si>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</si>
  <si>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</si>
  <si>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</si>
  <si>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</si>
  <si>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</si>
  <si>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</si>
  <si>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</si>
  <si>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</si>
  <si>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</si>
  <si>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</si>
  <si>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</si>
  <si>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</si>
  <si>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</si>
  <si>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</si>
  <si>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</si>
  <si>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</si>
  <si>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</si>
  <si>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</si>
  <si>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</si>
  <si>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</si>
  <si>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</si>
  <si>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</si>
  <si>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</si>
  <si>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</si>
  <si>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</si>
  <si>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</si>
  <si>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</si>
  <si>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</si>
  <si>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</si>
  <si>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</si>
  <si>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</si>
  <si>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</si>
  <si>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１ｋ㎡当り人口密度</t>
  </si>
  <si>
    <t>増　加　数</t>
  </si>
  <si>
    <t>増 加 率</t>
  </si>
  <si>
    <t>比重の移動</t>
  </si>
  <si>
    <t>浦添市</t>
  </si>
  <si>
    <t>（26）  市町村別人口増加のタイプ</t>
  </si>
  <si>
    <t>（26）  市町村別人口増加のタイプ（続き）</t>
  </si>
  <si>
    <t>平　成　７　年　～　平　成　１２　年</t>
  </si>
  <si>
    <t>平　成　１２　年　～　平　成　１７　年</t>
  </si>
  <si>
    <t>平　成　１７　年　～　平　成　２２　年</t>
  </si>
  <si>
    <t>タ イ プ</t>
  </si>
  <si>
    <t>Ａ</t>
  </si>
  <si>
    <t>Ｂ</t>
  </si>
  <si>
    <t>Ｃ</t>
  </si>
  <si>
    <t>豊見城村</t>
  </si>
  <si>
    <t>(注）平成14年度から豊見城は市制施行している。</t>
  </si>
  <si>
    <t>※ タイプ・・・国勢調査による市町村の人口をもとにして、出生死亡数法によって、市町村別の社会増加数を</t>
  </si>
  <si>
    <t>　　    　 　　推計し、８つのタイプに分けた。</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</si>
  <si>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</si>
  <si>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</si>
  <si>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</si>
  <si>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</si>
  <si>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</si>
  <si>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</si>
  <si>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</si>
  <si>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</si>
  <si>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</si>
  <si>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</si>
  <si>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</si>
  <si>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</si>
  <si>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</si>
  <si>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</si>
  <si>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</si>
  <si>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t>
  </si>
  <si>
    <t>平成２年</t>
  </si>
  <si>
    <t>12</t>
  </si>
  <si>
    <t>17</t>
  </si>
  <si>
    <t>22</t>
  </si>
  <si>
    <t>（注）昭和25年の人口増加率は、昭和15年をもとにした。</t>
  </si>
  <si>
    <t>（28）年齢（５歳階級）、配偶関係及び男女別15歳以上人口</t>
  </si>
  <si>
    <t>(単位：人）</t>
  </si>
  <si>
    <t>有配偶</t>
  </si>
  <si>
    <t>15～19歳</t>
  </si>
  <si>
    <t>20～24</t>
  </si>
  <si>
    <t>25～29</t>
  </si>
  <si>
    <t>30～34</t>
  </si>
  <si>
    <t>35～44</t>
  </si>
  <si>
    <t>45～54</t>
  </si>
  <si>
    <t>55～64</t>
  </si>
  <si>
    <t>65歳以上</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</si>
  <si>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</si>
  <si>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</si>
  <si>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</si>
  <si>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</si>
  <si>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</si>
  <si>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</si>
  <si>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</si>
  <si>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</si>
  <si>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</si>
  <si>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</si>
  <si>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</si>
  <si>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</si>
  <si>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</si>
  <si>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</si>
  <si>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</si>
  <si>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</si>
  <si>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</si>
  <si>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</si>
  <si>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</si>
  <si>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</si>
  <si>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</si>
  <si>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</si>
  <si>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</si>
  <si>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</si>
  <si>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</si>
  <si>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</si>
  <si>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</si>
  <si>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</si>
  <si>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</si>
  <si>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</si>
  <si>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</si>
  <si>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</si>
  <si>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</si>
  <si>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</si>
  <si>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</si>
  <si>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</si>
  <si>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</si>
  <si>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</si>
  <si>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</si>
  <si>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</si>
  <si>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</si>
  <si>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</si>
  <si>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</si>
  <si>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</si>
  <si>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</si>
  <si>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</si>
  <si>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</si>
  <si>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</si>
  <si>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</si>
  <si>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</si>
  <si>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</si>
  <si>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</si>
  <si>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</si>
  <si>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</si>
  <si>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</si>
  <si>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</si>
  <si>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</si>
  <si>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</si>
  <si>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</si>
  <si>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</si>
  <si>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</si>
  <si>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</si>
  <si>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</si>
  <si>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</si>
  <si>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</si>
  <si>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</si>
  <si>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</si>
  <si>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</si>
  <si>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</si>
  <si>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</si>
  <si>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</si>
  <si>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</si>
  <si>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</si>
  <si>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</si>
  <si>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</si>
  <si>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</si>
  <si>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</si>
  <si>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</si>
  <si>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</si>
  <si>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</si>
  <si>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</si>
  <si>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</si>
  <si>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</si>
  <si>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</si>
  <si>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</si>
  <si>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</si>
  <si>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なお、広大な工場地域・湾港施設・学校・都市公園・官公庁の施設がある地域は、人口密度に関係なく、こ</t>
  </si>
  <si>
    <t>れと隣接する人口密度の高い調査区の地域に含めている。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</si>
  <si>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</si>
  <si>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</si>
  <si>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</si>
  <si>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</si>
  <si>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</si>
  <si>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</si>
  <si>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</si>
  <si>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</si>
  <si>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</si>
  <si>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</si>
  <si>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</si>
  <si>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</si>
  <si>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</si>
  <si>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</si>
  <si>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</si>
  <si>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</si>
  <si>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</si>
  <si>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</si>
  <si>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</si>
  <si>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</si>
  <si>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</si>
  <si>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　　(持ち家)</t>
  </si>
  <si>
    <t>　　(公営住宅)</t>
  </si>
  <si>
    <t>　　(民営借家)</t>
  </si>
  <si>
    <t>　　(給与住宅)</t>
  </si>
  <si>
    <t>　　(間借り)</t>
  </si>
  <si>
    <t>ネパール</t>
    <phoneticPr fontId="18"/>
  </si>
  <si>
    <t>転 入</t>
    <phoneticPr fontId="18"/>
  </si>
  <si>
    <t xml:space="preserve">（15）  住民登録人口の推移①　（各年共12月末日現在） </t>
    <rPh sb="18" eb="20">
      <t>カクネン</t>
    </rPh>
    <rPh sb="20" eb="21">
      <t>トモ</t>
    </rPh>
    <rPh sb="23" eb="24">
      <t>ガツ</t>
    </rPh>
    <rPh sb="24" eb="25">
      <t>マツ</t>
    </rPh>
    <rPh sb="25" eb="26">
      <t>ヒ</t>
    </rPh>
    <rPh sb="26" eb="28">
      <t>ゲンザイ</t>
    </rPh>
    <phoneticPr fontId="18"/>
  </si>
  <si>
    <t>（単位：世帯、人、％）</t>
    <rPh sb="1" eb="3">
      <t>タンイ</t>
    </rPh>
    <rPh sb="4" eb="6">
      <t>セタイ</t>
    </rPh>
    <rPh sb="7" eb="8">
      <t>ニン</t>
    </rPh>
    <phoneticPr fontId="18"/>
  </si>
  <si>
    <t>年　　次</t>
    <phoneticPr fontId="18"/>
  </si>
  <si>
    <t>世 帯 数</t>
    <rPh sb="0" eb="1">
      <t>ヨ</t>
    </rPh>
    <rPh sb="2" eb="3">
      <t>オビ</t>
    </rPh>
    <rPh sb="4" eb="5">
      <t>カズ</t>
    </rPh>
    <phoneticPr fontId="18"/>
  </si>
  <si>
    <t>人　　　　　　口</t>
    <phoneticPr fontId="18"/>
  </si>
  <si>
    <t>一 世 帯</t>
    <rPh sb="2" eb="3">
      <t>ヨ</t>
    </rPh>
    <rPh sb="4" eb="5">
      <t>オビ</t>
    </rPh>
    <phoneticPr fontId="18"/>
  </si>
  <si>
    <t>総　　数</t>
    <phoneticPr fontId="18"/>
  </si>
  <si>
    <t>男</t>
    <phoneticPr fontId="18"/>
  </si>
  <si>
    <t>女</t>
    <phoneticPr fontId="18"/>
  </si>
  <si>
    <t>当り人口</t>
    <rPh sb="0" eb="1">
      <t>アタ</t>
    </rPh>
    <rPh sb="2" eb="4">
      <t>ジンコウ</t>
    </rPh>
    <phoneticPr fontId="18"/>
  </si>
  <si>
    <t>（16）  住民登録人口の推移② （各年共３月末日現在）</t>
    <rPh sb="18" eb="20">
      <t>カクネン</t>
    </rPh>
    <rPh sb="20" eb="21">
      <t>トモ</t>
    </rPh>
    <rPh sb="22" eb="24">
      <t>ガツマツ</t>
    </rPh>
    <rPh sb="24" eb="25">
      <t>ヒ</t>
    </rPh>
    <rPh sb="25" eb="27">
      <t>ゲンザイ</t>
    </rPh>
    <phoneticPr fontId="18"/>
  </si>
  <si>
    <t>年　　次</t>
    <phoneticPr fontId="18"/>
  </si>
  <si>
    <t>人　　　　　　口</t>
    <phoneticPr fontId="18"/>
  </si>
  <si>
    <t>一 世 帯</t>
    <phoneticPr fontId="18"/>
  </si>
  <si>
    <t>総　　数</t>
    <phoneticPr fontId="18"/>
  </si>
  <si>
    <t>男</t>
    <phoneticPr fontId="18"/>
  </si>
  <si>
    <t>女</t>
    <phoneticPr fontId="18"/>
  </si>
  <si>
    <t xml:space="preserve">（17）  年齢階層別人口の推移（各年共３月末日現在）  </t>
    <rPh sb="17" eb="19">
      <t>カクネン</t>
    </rPh>
    <rPh sb="19" eb="20">
      <t>トモ</t>
    </rPh>
    <rPh sb="21" eb="23">
      <t>ガツマツ</t>
    </rPh>
    <rPh sb="23" eb="24">
      <t>ヒ</t>
    </rPh>
    <rPh sb="24" eb="26">
      <t>ゲンザイ</t>
    </rPh>
    <phoneticPr fontId="18"/>
  </si>
  <si>
    <t>（単位：人）</t>
    <rPh sb="1" eb="3">
      <t>タンイ</t>
    </rPh>
    <rPh sb="4" eb="5">
      <t>ニン</t>
    </rPh>
    <phoneticPr fontId="18"/>
  </si>
  <si>
    <t>年　　次</t>
    <phoneticPr fontId="18"/>
  </si>
  <si>
    <t>年少人口</t>
    <phoneticPr fontId="18"/>
  </si>
  <si>
    <t xml:space="preserve"> 生産年齢人口</t>
    <phoneticPr fontId="18"/>
  </si>
  <si>
    <t>老年人口</t>
    <phoneticPr fontId="18"/>
  </si>
  <si>
    <t xml:space="preserve"> （０歳～14歳）</t>
    <phoneticPr fontId="18"/>
  </si>
  <si>
    <t>（15歳～64歳）</t>
    <phoneticPr fontId="18"/>
  </si>
  <si>
    <t xml:space="preserve"> （65歳以上）</t>
    <phoneticPr fontId="18"/>
  </si>
  <si>
    <t>総　　数</t>
    <phoneticPr fontId="18"/>
  </si>
  <si>
    <t>男</t>
    <phoneticPr fontId="18"/>
  </si>
  <si>
    <t>女</t>
    <phoneticPr fontId="18"/>
  </si>
  <si>
    <t>市  部  別</t>
    <phoneticPr fontId="18"/>
  </si>
  <si>
    <t>人         口</t>
    <phoneticPr fontId="18"/>
  </si>
  <si>
    <t>人 口 密 度</t>
    <phoneticPr fontId="18"/>
  </si>
  <si>
    <t>Ｄ・I・Ｄs</t>
    <phoneticPr fontId="18"/>
  </si>
  <si>
    <t xml:space="preserve">    Ｄ・I・Ｄs　　</t>
    <phoneticPr fontId="18"/>
  </si>
  <si>
    <t>　　 △Ｄ</t>
    <phoneticPr fontId="18"/>
  </si>
  <si>
    <t>総　　　数</t>
    <phoneticPr fontId="18"/>
  </si>
  <si>
    <t>総　数</t>
    <phoneticPr fontId="18"/>
  </si>
  <si>
    <t>未 婚</t>
    <phoneticPr fontId="18"/>
  </si>
  <si>
    <t>死 別</t>
    <phoneticPr fontId="18"/>
  </si>
  <si>
    <t>離 別</t>
    <phoneticPr fontId="18"/>
  </si>
  <si>
    <t>離 別</t>
    <phoneticPr fontId="18"/>
  </si>
  <si>
    <t>-</t>
    <phoneticPr fontId="18"/>
  </si>
  <si>
    <t>-</t>
    <phoneticPr fontId="18"/>
  </si>
  <si>
    <t>年　齢</t>
    <phoneticPr fontId="18"/>
  </si>
  <si>
    <t>15 歳 以 上 人 口</t>
    <phoneticPr fontId="18"/>
  </si>
  <si>
    <t xml:space="preserve"> -　</t>
    <phoneticPr fontId="18"/>
  </si>
  <si>
    <t>中央北地区</t>
    <phoneticPr fontId="18"/>
  </si>
  <si>
    <t xml:space="preserve">中央西地区 </t>
    <phoneticPr fontId="18"/>
  </si>
  <si>
    <t>中央地区</t>
    <phoneticPr fontId="18"/>
  </si>
  <si>
    <t>南地区</t>
    <phoneticPr fontId="18"/>
  </si>
  <si>
    <t>東地区</t>
    <phoneticPr fontId="18"/>
  </si>
  <si>
    <t>妻　　　が　　　60　　　歳　　　以　　　上</t>
    <phoneticPr fontId="18"/>
  </si>
  <si>
    <t>年　少　人　口</t>
    <phoneticPr fontId="18"/>
  </si>
  <si>
    <t>生　産　年　齢　人　口</t>
    <phoneticPr fontId="18"/>
  </si>
  <si>
    <t>老　年　人　口</t>
    <phoneticPr fontId="18"/>
  </si>
  <si>
    <t xml:space="preserve"> 減</t>
    <phoneticPr fontId="18"/>
  </si>
  <si>
    <t>市　　　別</t>
    <phoneticPr fontId="18"/>
  </si>
  <si>
    <t>与那原町</t>
    <rPh sb="0" eb="4">
      <t>ヨナバルチョウ</t>
    </rPh>
    <phoneticPr fontId="18"/>
  </si>
  <si>
    <t>南城市</t>
    <rPh sb="0" eb="1">
      <t>ナン</t>
    </rPh>
    <rPh sb="1" eb="2">
      <t>シロ</t>
    </rPh>
    <rPh sb="2" eb="3">
      <t>シ</t>
    </rPh>
    <phoneticPr fontId="18"/>
  </si>
  <si>
    <t>　住宅以外に住む</t>
    <rPh sb="1" eb="3">
      <t>ジュウタク</t>
    </rPh>
    <rPh sb="3" eb="5">
      <t>イガイ</t>
    </rPh>
    <rPh sb="6" eb="7">
      <t>ス</t>
    </rPh>
    <phoneticPr fontId="18"/>
  </si>
  <si>
    <t>男</t>
    <rPh sb="0" eb="1">
      <t>オトコ</t>
    </rPh>
    <phoneticPr fontId="18"/>
  </si>
  <si>
    <t>女</t>
    <rPh sb="0" eb="1">
      <t>オンナ</t>
    </rPh>
    <phoneticPr fontId="18"/>
  </si>
  <si>
    <t>上昇率</t>
    <rPh sb="0" eb="2">
      <t>ジョウショウ</t>
    </rPh>
    <rPh sb="2" eb="3">
      <t>リツ</t>
    </rPh>
    <phoneticPr fontId="18"/>
  </si>
  <si>
    <r>
      <t>Ⅱ　</t>
    </r>
    <r>
      <rPr>
        <b/>
        <sz val="14"/>
        <rFont val="ＭＳ 明朝"/>
        <family val="1"/>
        <charset val="128"/>
      </rPr>
      <t>　人　　　　口</t>
    </r>
    <phoneticPr fontId="18"/>
  </si>
  <si>
    <t>各年12月末現在</t>
    <rPh sb="0" eb="1">
      <t>カク</t>
    </rPh>
    <rPh sb="1" eb="2">
      <t>ネン</t>
    </rPh>
    <rPh sb="4" eb="5">
      <t>ガツ</t>
    </rPh>
    <rPh sb="5" eb="6">
      <t>スエ</t>
    </rPh>
    <rPh sb="6" eb="8">
      <t>ゲンザイ</t>
    </rPh>
    <phoneticPr fontId="18"/>
  </si>
  <si>
    <t>米　国</t>
    <phoneticPr fontId="18"/>
  </si>
  <si>
    <t>中　国</t>
    <phoneticPr fontId="18"/>
  </si>
  <si>
    <t>フィリピン</t>
    <phoneticPr fontId="18"/>
  </si>
  <si>
    <t>ベトナム</t>
    <phoneticPr fontId="18"/>
  </si>
  <si>
    <t>タイ</t>
    <phoneticPr fontId="18"/>
  </si>
  <si>
    <t>カナダ</t>
    <phoneticPr fontId="18"/>
  </si>
  <si>
    <t>ブラジル</t>
    <phoneticPr fontId="18"/>
  </si>
  <si>
    <t>アルゼンチン</t>
    <phoneticPr fontId="18"/>
  </si>
  <si>
    <t>ペルー</t>
    <phoneticPr fontId="18"/>
  </si>
  <si>
    <t>ボリビア</t>
    <phoneticPr fontId="18"/>
  </si>
  <si>
    <t>英国</t>
    <rPh sb="0" eb="2">
      <t>エイコク</t>
    </rPh>
    <phoneticPr fontId="18"/>
  </si>
  <si>
    <t>その他</t>
    <rPh sb="2" eb="3">
      <t>タ</t>
    </rPh>
    <phoneticPr fontId="18"/>
  </si>
  <si>
    <t>（8）  年齢階層別人口構成　（P40参照）</t>
    <rPh sb="5" eb="7">
      <t>ネンレイ</t>
    </rPh>
    <rPh sb="7" eb="10">
      <t>カイソウベツ</t>
    </rPh>
    <rPh sb="10" eb="12">
      <t>ジンコウ</t>
    </rPh>
    <rPh sb="12" eb="14">
      <t>コウセイ</t>
    </rPh>
    <rPh sb="19" eb="21">
      <t>サンショウ</t>
    </rPh>
    <phoneticPr fontId="18"/>
  </si>
  <si>
    <t>年齢階層別人口構成</t>
    <rPh sb="0" eb="2">
      <t>ネンレイ</t>
    </rPh>
    <rPh sb="2" eb="4">
      <t>カイソウ</t>
    </rPh>
    <rPh sb="4" eb="5">
      <t>ベツ</t>
    </rPh>
    <rPh sb="5" eb="7">
      <t>ジンコウ</t>
    </rPh>
    <rPh sb="7" eb="9">
      <t>コウセイ</t>
    </rPh>
    <phoneticPr fontId="18"/>
  </si>
  <si>
    <t>15歳未満</t>
    <rPh sb="2" eb="3">
      <t>サイ</t>
    </rPh>
    <rPh sb="3" eb="5">
      <t>ミマン</t>
    </rPh>
    <phoneticPr fontId="18"/>
  </si>
  <si>
    <t>15～64歳</t>
    <rPh sb="5" eb="6">
      <t>サイ</t>
    </rPh>
    <phoneticPr fontId="18"/>
  </si>
  <si>
    <t>65歳以上</t>
    <rPh sb="2" eb="3">
      <t>サイ</t>
    </rPh>
    <rPh sb="3" eb="5">
      <t>イジョウ</t>
    </rPh>
    <phoneticPr fontId="18"/>
  </si>
  <si>
    <t>（9）  人口動態の推移①　（P44参照）</t>
    <rPh sb="5" eb="7">
      <t>ジンコウ</t>
    </rPh>
    <rPh sb="7" eb="9">
      <t>ドウタイ</t>
    </rPh>
    <rPh sb="10" eb="12">
      <t>スイイ</t>
    </rPh>
    <rPh sb="18" eb="20">
      <t>サンショウ</t>
    </rPh>
    <phoneticPr fontId="18"/>
  </si>
  <si>
    <t>人口増加</t>
    <rPh sb="0" eb="2">
      <t>ジンコウ</t>
    </rPh>
    <rPh sb="2" eb="4">
      <t>ゾウカ</t>
    </rPh>
    <phoneticPr fontId="18"/>
  </si>
  <si>
    <t>自然増加</t>
    <rPh sb="0" eb="2">
      <t>シゼン</t>
    </rPh>
    <rPh sb="2" eb="4">
      <t>ゾウカ</t>
    </rPh>
    <phoneticPr fontId="18"/>
  </si>
  <si>
    <t>社会増加</t>
    <rPh sb="0" eb="2">
      <t>シャカイ</t>
    </rPh>
    <rPh sb="2" eb="4">
      <t>ゾウカ</t>
    </rPh>
    <phoneticPr fontId="18"/>
  </si>
  <si>
    <t>（10）  人口動態の推移②　（P44参照）</t>
    <rPh sb="6" eb="8">
      <t>ジンコウ</t>
    </rPh>
    <rPh sb="8" eb="10">
      <t>ドウタイ</t>
    </rPh>
    <rPh sb="11" eb="13">
      <t>スイイ</t>
    </rPh>
    <rPh sb="19" eb="21">
      <t>サンショウ</t>
    </rPh>
    <phoneticPr fontId="18"/>
  </si>
  <si>
    <t>出生</t>
    <rPh sb="0" eb="2">
      <t>シュッセイ</t>
    </rPh>
    <phoneticPr fontId="18"/>
  </si>
  <si>
    <t>死亡</t>
    <rPh sb="0" eb="2">
      <t>シボウ</t>
    </rPh>
    <phoneticPr fontId="18"/>
  </si>
  <si>
    <t>転入</t>
    <rPh sb="0" eb="2">
      <t>テンニュウ</t>
    </rPh>
    <phoneticPr fontId="18"/>
  </si>
  <si>
    <t>転出</t>
    <rPh sb="0" eb="2">
      <t>テンシュツ</t>
    </rPh>
    <phoneticPr fontId="18"/>
  </si>
  <si>
    <t>（11）  国勢調査の人口の推移　（P48参照）</t>
    <rPh sb="6" eb="8">
      <t>コクセイ</t>
    </rPh>
    <rPh sb="8" eb="10">
      <t>チョウサ</t>
    </rPh>
    <rPh sb="11" eb="13">
      <t>ジンコウ</t>
    </rPh>
    <rPh sb="14" eb="16">
      <t>スイイ</t>
    </rPh>
    <rPh sb="21" eb="23">
      <t>サンショウ</t>
    </rPh>
    <phoneticPr fontId="18"/>
  </si>
  <si>
    <t>50年</t>
    <rPh sb="2" eb="3">
      <t>ネン</t>
    </rPh>
    <phoneticPr fontId="18"/>
  </si>
  <si>
    <t>55年</t>
    <rPh sb="2" eb="3">
      <t>ネン</t>
    </rPh>
    <phoneticPr fontId="18"/>
  </si>
  <si>
    <t>60年</t>
    <rPh sb="2" eb="3">
      <t>ネン</t>
    </rPh>
    <phoneticPr fontId="18"/>
  </si>
  <si>
    <t>12年</t>
    <rPh sb="2" eb="3">
      <t>ネン</t>
    </rPh>
    <phoneticPr fontId="18"/>
  </si>
  <si>
    <t>17年</t>
    <rPh sb="2" eb="3">
      <t>ネン</t>
    </rPh>
    <phoneticPr fontId="18"/>
  </si>
  <si>
    <t>　</t>
    <phoneticPr fontId="18"/>
  </si>
  <si>
    <t>（12）  人口集中地区の面積と人口　（P52・53参照）</t>
    <rPh sb="6" eb="8">
      <t>ジンコウ</t>
    </rPh>
    <rPh sb="8" eb="10">
      <t>シュウチュウ</t>
    </rPh>
    <rPh sb="10" eb="12">
      <t>チク</t>
    </rPh>
    <rPh sb="13" eb="15">
      <t>メンセキ</t>
    </rPh>
    <rPh sb="16" eb="18">
      <t>ジンコウ</t>
    </rPh>
    <rPh sb="26" eb="28">
      <t>サンショウ</t>
    </rPh>
    <phoneticPr fontId="18"/>
  </si>
  <si>
    <t>人口集中地区</t>
    <rPh sb="0" eb="2">
      <t>ジンコウ</t>
    </rPh>
    <rPh sb="2" eb="4">
      <t>シュウチュウ</t>
    </rPh>
    <rPh sb="4" eb="6">
      <t>チク</t>
    </rPh>
    <phoneticPr fontId="18"/>
  </si>
  <si>
    <t>人口集中地区外</t>
    <rPh sb="0" eb="2">
      <t>ジンコウ</t>
    </rPh>
    <rPh sb="2" eb="4">
      <t>シュウチュウ</t>
    </rPh>
    <rPh sb="4" eb="6">
      <t>チク</t>
    </rPh>
    <rPh sb="6" eb="7">
      <t>ガイ</t>
    </rPh>
    <phoneticPr fontId="18"/>
  </si>
  <si>
    <t>面積</t>
    <rPh sb="0" eb="2">
      <t>メンセキ</t>
    </rPh>
    <phoneticPr fontId="18"/>
  </si>
  <si>
    <t>人口</t>
    <rPh sb="0" eb="2">
      <t>ジンコウ</t>
    </rPh>
    <phoneticPr fontId="18"/>
  </si>
  <si>
    <t>※太線内の部分は、人口集中地区。</t>
    <rPh sb="1" eb="3">
      <t>フトセン</t>
    </rPh>
    <rPh sb="3" eb="4">
      <t>ナイ</t>
    </rPh>
    <rPh sb="5" eb="7">
      <t>ブブン</t>
    </rPh>
    <rPh sb="9" eb="11">
      <t>ジンコウ</t>
    </rPh>
    <rPh sb="11" eb="13">
      <t>シュウチュウ</t>
    </rPh>
    <rPh sb="13" eb="15">
      <t>チク</t>
    </rPh>
    <phoneticPr fontId="18"/>
  </si>
  <si>
    <t>年少人口</t>
    <rPh sb="0" eb="1">
      <t>トシ</t>
    </rPh>
    <rPh sb="1" eb="2">
      <t>ショウ</t>
    </rPh>
    <rPh sb="2" eb="3">
      <t>ヒト</t>
    </rPh>
    <rPh sb="3" eb="4">
      <t>クチ</t>
    </rPh>
    <phoneticPr fontId="18"/>
  </si>
  <si>
    <t>生産年齢人口</t>
    <rPh sb="0" eb="2">
      <t>セイサン</t>
    </rPh>
    <rPh sb="2" eb="4">
      <t>ネンレイ</t>
    </rPh>
    <rPh sb="4" eb="6">
      <t>ジンコウ</t>
    </rPh>
    <phoneticPr fontId="18"/>
  </si>
  <si>
    <t>老年人口</t>
    <rPh sb="0" eb="1">
      <t>ロウ</t>
    </rPh>
    <rPh sb="1" eb="2">
      <t>トシ</t>
    </rPh>
    <rPh sb="2" eb="3">
      <t>ヒト</t>
    </rPh>
    <rPh sb="3" eb="4">
      <t>クチ</t>
    </rPh>
    <phoneticPr fontId="18"/>
  </si>
  <si>
    <t>持ち家</t>
    <rPh sb="0" eb="1">
      <t>モ</t>
    </rPh>
    <rPh sb="2" eb="3">
      <t>イエ</t>
    </rPh>
    <phoneticPr fontId="18"/>
  </si>
  <si>
    <t>借家</t>
    <rPh sb="0" eb="2">
      <t>シャクヤ</t>
    </rPh>
    <phoneticPr fontId="18"/>
  </si>
  <si>
    <t>（単位：人、㎡）</t>
    <rPh sb="4" eb="5">
      <t>ヒト</t>
    </rPh>
    <phoneticPr fontId="18"/>
  </si>
  <si>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8"/>
  </si>
  <si>
    <t>する人口</t>
    <phoneticPr fontId="18"/>
  </si>
  <si>
    <t>安川</t>
    <phoneticPr fontId="18"/>
  </si>
  <si>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8"/>
  </si>
  <si>
    <t>世帯数</t>
    <rPh sb="0" eb="3">
      <t>セタイスウ</t>
    </rPh>
    <phoneticPr fontId="18"/>
  </si>
  <si>
    <t>(P50参照）</t>
    <phoneticPr fontId="18"/>
  </si>
  <si>
    <t>（P54参照）</t>
    <phoneticPr fontId="18"/>
  </si>
  <si>
    <t>総数</t>
    <rPh sb="0" eb="2">
      <t>ソウスウ</t>
    </rPh>
    <phoneticPr fontId="18"/>
  </si>
  <si>
    <t>増減数</t>
    <rPh sb="0" eb="2">
      <t>ゾウゲン</t>
    </rPh>
    <rPh sb="2" eb="3">
      <t>スウ</t>
    </rPh>
    <phoneticPr fontId="18"/>
  </si>
  <si>
    <t>韓国・朝鮮</t>
    <phoneticPr fontId="18"/>
  </si>
  <si>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</si>
  <si>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8"/>
  </si>
  <si>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</si>
  <si>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</si>
  <si>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8"/>
  </si>
  <si>
    <t>　　キロメートル当り 4,000人以上）が隣接して、それが人口 5,000人以上の地域を構成する地区のことであ</t>
    <phoneticPr fontId="18"/>
  </si>
  <si>
    <t>　　る。</t>
    <phoneticPr fontId="18"/>
  </si>
  <si>
    <t>　一般世帯</t>
    <phoneticPr fontId="18"/>
  </si>
  <si>
    <t>転 出</t>
    <phoneticPr fontId="18"/>
  </si>
  <si>
    <t>転 入</t>
    <phoneticPr fontId="18"/>
  </si>
  <si>
    <t>本　　市　　へ　　の　　転　　入</t>
    <phoneticPr fontId="18"/>
  </si>
  <si>
    <t>本　　市　　か　　ら　　の　　転　　出</t>
    <phoneticPr fontId="18"/>
  </si>
  <si>
    <t>順　位</t>
    <phoneticPr fontId="18"/>
  </si>
  <si>
    <t>都 道 府 県</t>
    <phoneticPr fontId="18"/>
  </si>
  <si>
    <t>移 動 数</t>
    <phoneticPr fontId="18"/>
  </si>
  <si>
    <t>順　位</t>
    <phoneticPr fontId="18"/>
  </si>
  <si>
    <t>都 道 府 県</t>
    <phoneticPr fontId="18"/>
  </si>
  <si>
    <t>移 動 数</t>
    <phoneticPr fontId="18"/>
  </si>
  <si>
    <t>６</t>
    <phoneticPr fontId="18"/>
  </si>
  <si>
    <t>総          数</t>
    <phoneticPr fontId="18"/>
  </si>
  <si>
    <t>総          数</t>
    <phoneticPr fontId="18"/>
  </si>
  <si>
    <t>ネパール</t>
    <phoneticPr fontId="18"/>
  </si>
  <si>
    <t>（注）平成23年版より、国名にネパールを追加した。</t>
    <rPh sb="1" eb="2">
      <t>チュウ</t>
    </rPh>
    <rPh sb="3" eb="5">
      <t>ヘイセイ</t>
    </rPh>
    <rPh sb="7" eb="8">
      <t>ネン</t>
    </rPh>
    <rPh sb="8" eb="9">
      <t>バン</t>
    </rPh>
    <rPh sb="12" eb="14">
      <t>コクメイ</t>
    </rPh>
    <rPh sb="20" eb="22">
      <t>ツイカ</t>
    </rPh>
    <phoneticPr fontId="18"/>
  </si>
  <si>
    <t>実　　　　　数</t>
    <phoneticPr fontId="18"/>
  </si>
  <si>
    <t>実　　　　　数</t>
    <phoneticPr fontId="18"/>
  </si>
  <si>
    <t>　　人　　　　口　　　増</t>
    <rPh sb="11" eb="12">
      <t>ゾウ</t>
    </rPh>
    <phoneticPr fontId="18"/>
  </si>
  <si>
    <t>沖　縄　県　</t>
    <phoneticPr fontId="18"/>
  </si>
  <si>
    <t>住　　　宅</t>
    <phoneticPr fontId="18"/>
  </si>
  <si>
    <t xml:space="preserve">      玄関、台所、廊下、便所、浴室、押し入れなども含めた床面積の合計をいう。</t>
    <rPh sb="6" eb="8">
      <t>ゲンカン</t>
    </rPh>
    <rPh sb="9" eb="11">
      <t>ダイドコロ</t>
    </rPh>
    <phoneticPr fontId="18"/>
  </si>
  <si>
    <t>（注）延べ面積とは、各居住室の床面積のほか、その住宅に含まれる</t>
    <phoneticPr fontId="18"/>
  </si>
  <si>
    <t>平成2年</t>
    <rPh sb="0" eb="2">
      <t>ヘイセイ</t>
    </rPh>
    <rPh sb="3" eb="4">
      <t>ネン</t>
    </rPh>
    <phoneticPr fontId="18"/>
  </si>
  <si>
    <t>7年</t>
    <rPh sb="1" eb="2">
      <t>ネン</t>
    </rPh>
    <phoneticPr fontId="18"/>
  </si>
  <si>
    <t>平成26年</t>
    <phoneticPr fontId="18"/>
  </si>
  <si>
    <t>平成27年</t>
    <phoneticPr fontId="18"/>
  </si>
  <si>
    <t>平成22年</t>
    <phoneticPr fontId="18"/>
  </si>
  <si>
    <t>平成23年</t>
    <phoneticPr fontId="18"/>
  </si>
  <si>
    <t>平成24年</t>
    <phoneticPr fontId="18"/>
  </si>
  <si>
    <t>平成25年</t>
    <phoneticPr fontId="18"/>
  </si>
  <si>
    <t>（注）県営経塚団地、浦添市街地住宅は、平成19年4月1日認可。</t>
    <phoneticPr fontId="18"/>
  </si>
  <si>
    <t xml:space="preserve">      県営沢岻高層住宅は、平成20年4月1日認可。陽迎橋は、平成21年4月1日認可。     </t>
    <phoneticPr fontId="18"/>
  </si>
  <si>
    <t>平成17年</t>
    <rPh sb="0" eb="2">
      <t>ヘイセイ</t>
    </rPh>
    <rPh sb="4" eb="5">
      <t>ネン</t>
    </rPh>
    <phoneticPr fontId="18"/>
  </si>
  <si>
    <t>　　  平成26年に国土地理院による面積調べの測定方法に変更があり総面積が増えたが、実質的な面積の増減は</t>
    <rPh sb="33" eb="36">
      <t>ソウメンセキ</t>
    </rPh>
    <rPh sb="37" eb="38">
      <t>フ</t>
    </rPh>
    <phoneticPr fontId="18"/>
  </si>
  <si>
    <t>　　　ないため、字別面積は構成比に応じて算出している。</t>
    <rPh sb="8" eb="9">
      <t>アザ</t>
    </rPh>
    <rPh sb="9" eb="10">
      <t>ベツ</t>
    </rPh>
    <rPh sb="10" eb="12">
      <t>メンセキ</t>
    </rPh>
    <phoneticPr fontId="18"/>
  </si>
  <si>
    <t>　　　（小数点第2位で四捨五入しているため総数とは一致しない。）</t>
    <phoneticPr fontId="18"/>
  </si>
  <si>
    <t>平成28年</t>
    <phoneticPr fontId="18"/>
  </si>
  <si>
    <t>Ａ</t>
    <phoneticPr fontId="18"/>
  </si>
  <si>
    <t>Ｃ</t>
    <phoneticPr fontId="18"/>
  </si>
  <si>
    <t>Ａ</t>
    <phoneticPr fontId="18"/>
  </si>
  <si>
    <t>△Ｄ</t>
    <phoneticPr fontId="18"/>
  </si>
  <si>
    <t>Ｂ</t>
    <phoneticPr fontId="18"/>
  </si>
  <si>
    <t>Ｂ</t>
    <phoneticPr fontId="18"/>
  </si>
  <si>
    <t>平　成　２２　年　～　平　成　２７　年</t>
    <phoneticPr fontId="18"/>
  </si>
  <si>
    <t>平成22年</t>
    <phoneticPr fontId="18"/>
  </si>
  <si>
    <t>（注） 面積は国土交通省国土地理院「平成27年全国都道府県市区町村別面積調」による。</t>
    <rPh sb="7" eb="9">
      <t>コクド</t>
    </rPh>
    <rPh sb="9" eb="11">
      <t>コウツウ</t>
    </rPh>
    <phoneticPr fontId="18"/>
  </si>
  <si>
    <t>うるま市</t>
    <rPh sb="3" eb="4">
      <t>シ</t>
    </rPh>
    <phoneticPr fontId="18"/>
  </si>
  <si>
    <t>宮古島市</t>
    <rPh sb="0" eb="4">
      <t>ミヤコジマシ</t>
    </rPh>
    <phoneticPr fontId="18"/>
  </si>
  <si>
    <t>②自然増加・・・沖縄県企画開発部「人口移動報告年報」より、各年10月～９月までの数値を合計し、</t>
    <phoneticPr fontId="18"/>
  </si>
  <si>
    <t xml:space="preserve">                ５年分を算出した。</t>
    <phoneticPr fontId="18"/>
  </si>
  <si>
    <t>①人口増加・・・国勢調査人口によって、各調査年の10月1日現在の人口から５年間の動きを算出した。</t>
    <phoneticPr fontId="18"/>
  </si>
  <si>
    <t>③出生死亡数法・ある期間内の人口増加と自然増加（出生数と死亡数）から、同期間内の社会増加を</t>
    <phoneticPr fontId="18"/>
  </si>
  <si>
    <t xml:space="preserve">                求める。 人口増加－自然増加＝社会増加</t>
    <phoneticPr fontId="18"/>
  </si>
  <si>
    <t>※算出方法</t>
    <rPh sb="1" eb="3">
      <t>サンシュツ</t>
    </rPh>
    <rPh sb="3" eb="5">
      <t>ホウホウ</t>
    </rPh>
    <phoneticPr fontId="18"/>
  </si>
  <si>
    <t>南城市</t>
    <rPh sb="0" eb="3">
      <t>ナンジョウシ</t>
    </rPh>
    <phoneticPr fontId="18"/>
  </si>
  <si>
    <t>（旧石川市）</t>
    <rPh sb="1" eb="2">
      <t>キュウ</t>
    </rPh>
    <phoneticPr fontId="18"/>
  </si>
  <si>
    <t>（旧具志川市）</t>
    <rPh sb="1" eb="2">
      <t>キュウ</t>
    </rPh>
    <phoneticPr fontId="18"/>
  </si>
  <si>
    <t>（旧平良市）</t>
    <rPh sb="1" eb="2">
      <t>キュウ</t>
    </rPh>
    <phoneticPr fontId="18"/>
  </si>
  <si>
    <t>Ａ</t>
    <phoneticPr fontId="18"/>
  </si>
  <si>
    <t>Ｂ</t>
    <phoneticPr fontId="18"/>
  </si>
  <si>
    <t>△Ｃ</t>
    <phoneticPr fontId="18"/>
  </si>
  <si>
    <t>Ｄ</t>
    <phoneticPr fontId="18"/>
  </si>
  <si>
    <t>△Ｄ</t>
    <phoneticPr fontId="18"/>
  </si>
  <si>
    <t>資料：平成27年国勢調査</t>
    <phoneticPr fontId="18"/>
  </si>
  <si>
    <t>（25)   平成27年国勢調査による市町村別人口</t>
    <phoneticPr fontId="18"/>
  </si>
  <si>
    <t>（25)   平成27年国勢調査による市町村別人口（続き）</t>
    <phoneticPr fontId="18"/>
  </si>
  <si>
    <t>平成22年</t>
    <phoneticPr fontId="18"/>
  </si>
  <si>
    <t>平成27年</t>
    <phoneticPr fontId="18"/>
  </si>
  <si>
    <t>平成27年</t>
    <phoneticPr fontId="18"/>
  </si>
  <si>
    <t xml:space="preserve"> 平成22年との人口比較</t>
    <phoneticPr fontId="18"/>
  </si>
  <si>
    <t>平成27年国調人口</t>
    <phoneticPr fontId="18"/>
  </si>
  <si>
    <t xml:space="preserve">　平成27年10月１日現在の沖縄県の総人口は、 1,433,566人で前回調査の平成22年と比べ 40,748人増加している。人口を市町村別にみると市部では、①那覇市が319,435人（県人口の22.3％）で最も多く、次いで②沖縄市が139,279人（同 9.7％）、③うるま市 118,898人（同 8.3％）、④本市 114,232人(同8.0％）、⑤宜野湾市96,243人（同6.7％）の順となっている。地域別の人口構成では、那覇市を中心とする中南部に人口が集中している。
　沖縄県の対前回増加率は 2.9％で、平成22年の 2.3％と比べ0.6ポイントの増加となった。本市における対前回増加率は3.5％で、前回の4.1％に比べ0.6ポイント減少している。 </t>
    <rPh sb="281" eb="283">
      <t>ゾウカ</t>
    </rPh>
    <rPh sb="315" eb="316">
      <t>クラ</t>
    </rPh>
    <rPh sb="324" eb="326">
      <t>ゲンショウ</t>
    </rPh>
    <phoneticPr fontId="18"/>
  </si>
  <si>
    <t>昭和10年</t>
    <rPh sb="0" eb="2">
      <t>ショウワ</t>
    </rPh>
    <rPh sb="4" eb="5">
      <t>ネン</t>
    </rPh>
    <phoneticPr fontId="18"/>
  </si>
  <si>
    <t>27</t>
    <phoneticPr fontId="18"/>
  </si>
  <si>
    <t>資料：平成27年国勢調査</t>
    <phoneticPr fontId="18"/>
  </si>
  <si>
    <t>平成27年</t>
    <phoneticPr fontId="18"/>
  </si>
  <si>
    <t>資料：平成27年国勢調査</t>
    <phoneticPr fontId="18"/>
  </si>
  <si>
    <t>（注）平成１７年のみ配偶関係「不詳」を含む。</t>
    <rPh sb="3" eb="5">
      <t>ヘイセイ</t>
    </rPh>
    <rPh sb="7" eb="8">
      <t>ネン</t>
    </rPh>
    <phoneticPr fontId="18"/>
  </si>
  <si>
    <t>資料：平成27年国勢調査</t>
    <phoneticPr fontId="18"/>
  </si>
  <si>
    <t>資料：平成27年国勢調査</t>
    <phoneticPr fontId="18"/>
  </si>
  <si>
    <t>平 成 12 年</t>
    <phoneticPr fontId="18"/>
  </si>
  <si>
    <r>
      <rPr>
        <sz val="10"/>
        <color indexed="9"/>
        <rFont val="ＭＳ 明朝"/>
        <family val="1"/>
        <charset val="128"/>
      </rPr>
      <t xml:space="preserve">平 成 </t>
    </r>
    <r>
      <rPr>
        <sz val="10"/>
        <rFont val="ＭＳ 明朝"/>
        <family val="1"/>
        <charset val="128"/>
      </rPr>
      <t xml:space="preserve">17 </t>
    </r>
    <r>
      <rPr>
        <sz val="10"/>
        <color indexed="9"/>
        <rFont val="ＭＳ 明朝"/>
        <family val="1"/>
        <charset val="128"/>
      </rPr>
      <t>年</t>
    </r>
    <phoneticPr fontId="18"/>
  </si>
  <si>
    <r>
      <rPr>
        <sz val="10"/>
        <color theme="0"/>
        <rFont val="ＭＳ 明朝"/>
        <family val="1"/>
        <charset val="128"/>
      </rPr>
      <t>平 成</t>
    </r>
    <r>
      <rPr>
        <sz val="10"/>
        <rFont val="ＭＳ 明朝"/>
        <family val="1"/>
        <charset val="128"/>
      </rPr>
      <t xml:space="preserve"> 22 </t>
    </r>
    <r>
      <rPr>
        <sz val="10"/>
        <color theme="0"/>
        <rFont val="ＭＳ 明朝"/>
        <family val="1"/>
        <charset val="128"/>
      </rPr>
      <t>年</t>
    </r>
    <phoneticPr fontId="18"/>
  </si>
  <si>
    <r>
      <rPr>
        <b/>
        <sz val="10"/>
        <color indexed="9"/>
        <rFont val="ＭＳ 明朝"/>
        <family val="1"/>
        <charset val="128"/>
      </rPr>
      <t>平 成</t>
    </r>
    <r>
      <rPr>
        <b/>
        <sz val="10"/>
        <rFont val="ＭＳ 明朝"/>
        <family val="1"/>
        <charset val="128"/>
      </rPr>
      <t xml:space="preserve"> 27 </t>
    </r>
    <r>
      <rPr>
        <b/>
        <sz val="10"/>
        <color indexed="9"/>
        <rFont val="ＭＳ 明朝"/>
        <family val="1"/>
        <charset val="128"/>
      </rPr>
      <t>年</t>
    </r>
    <phoneticPr fontId="18"/>
  </si>
  <si>
    <t>12</t>
    <phoneticPr fontId="18"/>
  </si>
  <si>
    <t>27</t>
    <phoneticPr fontId="18"/>
  </si>
  <si>
    <r>
      <rPr>
        <sz val="10"/>
        <color indexed="9"/>
        <rFont val="ＭＳ 明朝"/>
        <family val="1"/>
        <charset val="128"/>
      </rPr>
      <t>平　成　</t>
    </r>
    <r>
      <rPr>
        <sz val="10"/>
        <rFont val="ＭＳ 明朝"/>
        <family val="1"/>
        <charset val="128"/>
      </rPr>
      <t>1 2　</t>
    </r>
    <r>
      <rPr>
        <sz val="10"/>
        <color indexed="9"/>
        <rFont val="ＭＳ 明朝"/>
        <family val="1"/>
        <charset val="128"/>
      </rPr>
      <t>年</t>
    </r>
    <rPh sb="0" eb="1">
      <t>ヒラ</t>
    </rPh>
    <rPh sb="2" eb="3">
      <t>シゲル</t>
    </rPh>
    <rPh sb="8" eb="9">
      <t>ネン</t>
    </rPh>
    <phoneticPr fontId="18"/>
  </si>
  <si>
    <r>
      <rPr>
        <sz val="10"/>
        <color indexed="9"/>
        <rFont val="ＭＳ 明朝"/>
        <family val="1"/>
        <charset val="128"/>
      </rPr>
      <t>平　成　</t>
    </r>
    <r>
      <rPr>
        <sz val="10"/>
        <rFont val="ＭＳ 明朝"/>
        <family val="1"/>
        <charset val="128"/>
      </rPr>
      <t>1 7　</t>
    </r>
    <r>
      <rPr>
        <sz val="10"/>
        <color indexed="9"/>
        <rFont val="ＭＳ 明朝"/>
        <family val="1"/>
        <charset val="128"/>
      </rPr>
      <t>年</t>
    </r>
    <r>
      <rPr>
        <sz val="10"/>
        <rFont val="ＭＳ 明朝"/>
        <family val="1"/>
        <charset val="128"/>
      </rPr>
      <t>　</t>
    </r>
    <rPh sb="0" eb="1">
      <t>ヒラ</t>
    </rPh>
    <rPh sb="2" eb="3">
      <t>シゲル</t>
    </rPh>
    <phoneticPr fontId="18"/>
  </si>
  <si>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8"/>
  </si>
  <si>
    <r>
      <rPr>
        <sz val="10"/>
        <color indexed="9"/>
        <rFont val="ＭＳ 明朝"/>
        <family val="1"/>
        <charset val="128"/>
      </rPr>
      <t>平　成　</t>
    </r>
    <r>
      <rPr>
        <sz val="10"/>
        <rFont val="ＭＳ 明朝"/>
        <family val="1"/>
        <charset val="128"/>
      </rPr>
      <t xml:space="preserve">2 2  </t>
    </r>
    <r>
      <rPr>
        <sz val="10"/>
        <color indexed="9"/>
        <rFont val="ＭＳ 明朝"/>
        <family val="1"/>
        <charset val="128"/>
      </rPr>
      <t>年　</t>
    </r>
    <rPh sb="0" eb="1">
      <t>ヒラ</t>
    </rPh>
    <rPh sb="2" eb="3">
      <t>シゲル</t>
    </rPh>
    <phoneticPr fontId="18"/>
  </si>
  <si>
    <t>　また、生産年齢人口は前回より61人（0.1%）減少し、従属人口指数（子供や老人を養う負担の度合）は
4.5ポイント増加、平成27年では55.6％となっている。老年化指数においては、93.1%で前回より18.6ポイント増加している。
　</t>
    <rPh sb="24" eb="26">
      <t>ゲンショウ</t>
    </rPh>
    <phoneticPr fontId="18"/>
  </si>
  <si>
    <t>平　成　1 2　年</t>
    <rPh sb="0" eb="1">
      <t>ヒラ</t>
    </rPh>
    <rPh sb="2" eb="3">
      <t>シゲル</t>
    </rPh>
    <rPh sb="8" eb="9">
      <t>ネン</t>
    </rPh>
    <phoneticPr fontId="18"/>
  </si>
  <si>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8"/>
  </si>
  <si>
    <t>平成22年</t>
    <phoneticPr fontId="18"/>
  </si>
  <si>
    <t>平成27年</t>
    <phoneticPr fontId="18"/>
  </si>
  <si>
    <t>資料：平成27年国勢調査</t>
    <phoneticPr fontId="18"/>
  </si>
  <si>
    <t>資料：平成27年国勢調査</t>
    <phoneticPr fontId="18"/>
  </si>
  <si>
    <t xml:space="preserve"> 平成27年</t>
    <phoneticPr fontId="18"/>
  </si>
  <si>
    <t>（注）平成22年国勢調査より、1世帯・1人当りの延面積は把握されていない。</t>
    <rPh sb="1" eb="2">
      <t>チュウ</t>
    </rPh>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8"/>
  </si>
  <si>
    <t>平成22年</t>
    <phoneticPr fontId="18"/>
  </si>
  <si>
    <t>平成27年</t>
    <phoneticPr fontId="18"/>
  </si>
  <si>
    <t>平成22年</t>
    <phoneticPr fontId="18"/>
  </si>
  <si>
    <t>平成27年</t>
    <phoneticPr fontId="18"/>
  </si>
  <si>
    <t>22年</t>
    <phoneticPr fontId="18"/>
  </si>
  <si>
    <t>27年</t>
    <phoneticPr fontId="18"/>
  </si>
  <si>
    <t>22年</t>
    <phoneticPr fontId="18"/>
  </si>
  <si>
    <t>　　　平成22年国勢調査より、1世帯・1人当りの延面積は把握されていない。</t>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8"/>
  </si>
  <si>
    <t>資料：住民基本台帳（市民課）</t>
    <rPh sb="3" eb="9">
      <t>ジュウミンキホンダイチョウ</t>
    </rPh>
    <rPh sb="10" eb="13">
      <t>シミンカ</t>
    </rPh>
    <phoneticPr fontId="18"/>
  </si>
  <si>
    <t xml:space="preserve">資料：住民基本台帳（市民課） </t>
    <rPh sb="3" eb="9">
      <t>ジュウミンキホンダイチョウ</t>
    </rPh>
    <rPh sb="10" eb="13">
      <t>シミンカ</t>
    </rPh>
    <phoneticPr fontId="18"/>
  </si>
  <si>
    <t>資料：住民基本台帳（市民課）</t>
    <rPh sb="3" eb="9">
      <t>ジュウミンキホンダイチョウ</t>
    </rPh>
    <rPh sb="10" eb="13">
      <t>シミンカ</t>
    </rPh>
    <phoneticPr fontId="18"/>
  </si>
  <si>
    <t>資料：住民基本台帳（市民課）</t>
    <phoneticPr fontId="18"/>
  </si>
  <si>
    <t>県営港川団地</t>
    <rPh sb="0" eb="2">
      <t>ケンエイ</t>
    </rPh>
    <rPh sb="2" eb="6">
      <t>ミナトガワダンチ</t>
    </rPh>
    <phoneticPr fontId="18"/>
  </si>
  <si>
    <t xml:space="preserve">  　　県営港川団地は、平成28年4月1日認可。    </t>
    <phoneticPr fontId="18"/>
  </si>
  <si>
    <t>平成27年国調人口</t>
    <phoneticPr fontId="18"/>
  </si>
  <si>
    <t>　人口増加数では、①沖縄市が 9,030人で最も多く、次に②宜野湾市 4,315人、③本市 3,881人，④豊見城市 3,858人、⑤那覇市 3,481人の順となっている。人口比重（総人口に占める割合）の移動では，沖縄市が 3.7で最も高く、次いで ②豊見城市、③宜野湾市及び与那原町と続いている。
　沖縄県の人口密度は１平方キロメートル当り 628.4人で、前回の平成22年と比べて 16.5人高くなっている。市町村別では、①那覇市が 8,072.7人で最も高く、次いで②本市 5,864.1人、③宜野湾市 4,860.8人の順となっている。</t>
    <rPh sb="10" eb="12">
      <t>オキナワ</t>
    </rPh>
    <rPh sb="30" eb="34">
      <t>ギノワンシ</t>
    </rPh>
    <rPh sb="36" eb="41">
      <t>３１５ニン</t>
    </rPh>
    <rPh sb="43" eb="44">
      <t>ホン</t>
    </rPh>
    <rPh sb="54" eb="57">
      <t>トミグスク</t>
    </rPh>
    <rPh sb="67" eb="69">
      <t>ナハ</t>
    </rPh>
    <rPh sb="107" eb="109">
      <t>オキナワ</t>
    </rPh>
    <rPh sb="126" eb="130">
      <t>トミグスクシ</t>
    </rPh>
    <rPh sb="132" eb="136">
      <t>ギノワンシ</t>
    </rPh>
    <rPh sb="136" eb="137">
      <t>オヨ</t>
    </rPh>
    <rPh sb="138" eb="142">
      <t>ヨナバルチョウ</t>
    </rPh>
    <rPh sb="143" eb="144">
      <t>ツヅ</t>
    </rPh>
    <rPh sb="247" eb="248">
      <t>ニン</t>
    </rPh>
    <phoneticPr fontId="18"/>
  </si>
  <si>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平成27年10月１日現在の人口は 114,232人で前回 （平成22年）に比べ 3,881人（県下第3位）の増加数となっている。しかし、対前回増加率は 3.52％で、平成22年と同様に人口増加の傾向が緩やかになっている。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8"/>
  </si>
  <si>
    <t>　年齢構造について、過去10回の国勢調査でみていくと、年少人口の構成比の低下、生産年齢人口の構成比の増大、老年人口の漸増という過程で推移しており、平成27年には年少人口が20,910人（18.3％）、生産年齢人口72,626人（同63.6％）、老年人口が19,476人（同 17.0％）となっている。このような傾向は、少産少死型の人口構成への移行を意味しており、近年の家族計画による出生率の低下および医学の進歩による死亡率の低下がその要因となっている。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8"/>
  </si>
  <si>
    <t>　　　 平成14年4月1日、豊見城市誕生。平成17年4月１日うるま市誕生。 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8"/>
  </si>
  <si>
    <t xml:space="preserve">       平成18年1月1日、南城市誕生。</t>
    <phoneticPr fontId="18"/>
  </si>
  <si>
    <t>合計</t>
    <rPh sb="0" eb="2">
      <t>ゴウケイ</t>
    </rPh>
    <phoneticPr fontId="18"/>
  </si>
  <si>
    <t>昭和45年</t>
    <rPh sb="0" eb="2">
      <t>ショウワ</t>
    </rPh>
    <rPh sb="4" eb="5">
      <t>ネン</t>
    </rPh>
    <phoneticPr fontId="18"/>
  </si>
  <si>
    <t>27年</t>
    <rPh sb="2" eb="3">
      <t>ネン</t>
    </rPh>
    <phoneticPr fontId="18"/>
  </si>
  <si>
    <t>（平成27年国勢調査）</t>
    <rPh sb="1" eb="3">
      <t>ヘイセイ</t>
    </rPh>
    <rPh sb="5" eb="6">
      <t>ネン</t>
    </rPh>
    <rPh sb="6" eb="8">
      <t>コクセイ</t>
    </rPh>
    <rPh sb="8" eb="10">
      <t>チョウサ</t>
    </rPh>
    <phoneticPr fontId="18"/>
  </si>
  <si>
    <t>不詳</t>
    <rPh sb="0" eb="2">
      <t>フショウ</t>
    </rPh>
    <phoneticPr fontId="18"/>
  </si>
  <si>
    <t>（平成27年 国勢調査）</t>
    <rPh sb="1" eb="3">
      <t>ヘイセイ</t>
    </rPh>
    <rPh sb="5" eb="6">
      <t>ネン</t>
    </rPh>
    <rPh sb="7" eb="9">
      <t>コクセイ</t>
    </rPh>
    <rPh sb="9" eb="11">
      <t>チョウサ</t>
    </rPh>
    <phoneticPr fontId="18"/>
  </si>
  <si>
    <t>H27国勢調査データ（e-statより）</t>
    <rPh sb="3" eb="5">
      <t>コクセイ</t>
    </rPh>
    <rPh sb="5" eb="7">
      <t>チョウサ</t>
    </rPh>
    <phoneticPr fontId="18"/>
  </si>
  <si>
    <t>※不詳はグラフには含めていない</t>
    <rPh sb="1" eb="3">
      <t>フショウ</t>
    </rPh>
    <rPh sb="9" eb="10">
      <t>フク</t>
    </rPh>
    <phoneticPr fontId="18"/>
  </si>
  <si>
    <t>（15）　人口ピラミッド（P50参照）</t>
    <phoneticPr fontId="18"/>
  </si>
  <si>
    <t>　本市の平成22年の人口集中地区は、字勢理客から字牧港にかけての国道330号（バイパス）以西の大部分や字大平、字安波茶、字仲間、字前田、字経塚（一部）、字西原及び字当山（一部）の地区から成り立っている。（詳細地区について平成27年は平成29年2月時点で未公表）
　平成27年の面積は12.47平方キロメートルで平成22年より 0.4平方キロメートル（増加率3.3％）増加し、</t>
    <rPh sb="4" eb="6">
      <t>ヘイセイ</t>
    </rPh>
    <rPh sb="8" eb="9">
      <t>ネン</t>
    </rPh>
    <rPh sb="102" eb="104">
      <t>ショウサイ</t>
    </rPh>
    <rPh sb="104" eb="106">
      <t>チク</t>
    </rPh>
    <rPh sb="110" eb="112">
      <t>ヘイセイ</t>
    </rPh>
    <rPh sb="114" eb="115">
      <t>ネン</t>
    </rPh>
    <rPh sb="116" eb="118">
      <t>ヘイセイ</t>
    </rPh>
    <rPh sb="120" eb="121">
      <t>ネン</t>
    </rPh>
    <rPh sb="122" eb="123">
      <t>ガツ</t>
    </rPh>
    <rPh sb="123" eb="125">
      <t>ジテン</t>
    </rPh>
    <rPh sb="126" eb="129">
      <t>ミコウヒョウ</t>
    </rPh>
    <rPh sb="132" eb="134">
      <t>ヘイセイ</t>
    </rPh>
    <rPh sb="136" eb="137">
      <t>ネン</t>
    </rPh>
    <rPh sb="175" eb="177">
      <t>ゾウカ</t>
    </rPh>
    <rPh sb="177" eb="178">
      <t>リツ</t>
    </rPh>
    <rPh sb="183" eb="185">
      <t>ゾウカ</t>
    </rPh>
    <phoneticPr fontId="18"/>
  </si>
  <si>
    <t>市の総面積に占める割合では64.0％となった。また、平成27年の人口集中地区人口は111,169人で、平成22年より4,722人（同4.4％）増加しており、市の総人口に占める割合では、97.3％となった。一方、人口集中地区の人口密度は 8,915人となり、平成22年の8,819人と比べ微増した。</t>
    <rPh sb="3" eb="4">
      <t>メン</t>
    </rPh>
    <phoneticPr fontId="18"/>
  </si>
  <si>
    <t>平成20年</t>
    <rPh sb="0" eb="2">
      <t>ヘイセイ</t>
    </rPh>
    <rPh sb="4" eb="5">
      <t>ネン</t>
    </rPh>
    <phoneticPr fontId="18"/>
  </si>
  <si>
    <t xml:space="preserve">（18）  年齢（各歳）別、男女別人口（平成29年12月末日現在）                                                                  </t>
    <phoneticPr fontId="18"/>
  </si>
  <si>
    <t>平成28年</t>
    <phoneticPr fontId="18"/>
  </si>
  <si>
    <t>平成28年</t>
    <phoneticPr fontId="18"/>
  </si>
  <si>
    <t>平成29年</t>
    <phoneticPr fontId="18"/>
  </si>
  <si>
    <t>人  口（平成29年）</t>
    <phoneticPr fontId="18"/>
  </si>
  <si>
    <t>平成29年</t>
    <phoneticPr fontId="18"/>
  </si>
  <si>
    <t>（23）  市町村別人口移動状況(平成29年１月１日～12月31日）</t>
    <phoneticPr fontId="18"/>
  </si>
  <si>
    <t>（24）  都道府県別人口移動状況（平成29年１月１日～12月31日）</t>
    <phoneticPr fontId="18"/>
  </si>
  <si>
    <t>平成29年</t>
  </si>
  <si>
    <t>平成29年</t>
    <rPh sb="0" eb="2">
      <t>ヘイセイ</t>
    </rPh>
    <rPh sb="4" eb="5">
      <t>ネン</t>
    </rPh>
    <phoneticPr fontId="18"/>
  </si>
  <si>
    <t>平成19年</t>
    <rPh sb="0" eb="2">
      <t>ヘイセイ</t>
    </rPh>
    <rPh sb="4" eb="5">
      <t>ネン</t>
    </rPh>
    <phoneticPr fontId="18"/>
  </si>
  <si>
    <t>東京都</t>
  </si>
  <si>
    <t>福岡県</t>
  </si>
  <si>
    <t>神奈川県</t>
  </si>
  <si>
    <t>愛知県</t>
  </si>
  <si>
    <t>大阪府</t>
  </si>
  <si>
    <t>千葉県</t>
  </si>
  <si>
    <t>埼玉県</t>
  </si>
  <si>
    <t>北海道</t>
  </si>
  <si>
    <t>京都府</t>
  </si>
  <si>
    <t>兵庫県</t>
  </si>
  <si>
    <t>その他(都道府県）</t>
  </si>
  <si>
    <t>鹿児島県</t>
  </si>
  <si>
    <t>平成29年版更新済み</t>
    <rPh sb="0" eb="2">
      <t>ヘイセイ</t>
    </rPh>
    <rPh sb="4" eb="6">
      <t>ネンバン</t>
    </rPh>
    <rPh sb="6" eb="8">
      <t>コウシン</t>
    </rPh>
    <rPh sb="8" eb="9">
      <t>ズ</t>
    </rPh>
    <phoneticPr fontId="18"/>
  </si>
  <si>
    <t>H29年版更新なし</t>
    <rPh sb="3" eb="5">
      <t>ネンバン</t>
    </rPh>
    <rPh sb="5" eb="7">
      <t>コウシン</t>
    </rPh>
    <phoneticPr fontId="18"/>
  </si>
  <si>
    <r>
      <t>Ⅱ</t>
    </r>
    <r>
      <rPr>
        <b/>
        <sz val="16"/>
        <rFont val="ＭＳ 明朝"/>
        <family val="1"/>
        <charset val="128"/>
      </rPr>
      <t>　人　　口</t>
    </r>
    <phoneticPr fontId="18"/>
  </si>
  <si>
    <t>平成13年度年</t>
    <rPh sb="0" eb="2">
      <t>ヘイセイ</t>
    </rPh>
    <rPh sb="4" eb="6">
      <t>ネンド</t>
    </rPh>
    <rPh sb="6" eb="7">
      <t>ネン</t>
    </rPh>
    <phoneticPr fontId="18"/>
  </si>
  <si>
    <t>平成14年</t>
    <rPh sb="0" eb="2">
      <t>ヘイセイ</t>
    </rPh>
    <rPh sb="4" eb="5">
      <t>ネン</t>
    </rPh>
    <phoneticPr fontId="18"/>
  </si>
  <si>
    <t>平成15年</t>
    <rPh sb="0" eb="2">
      <t>ヘイセイ</t>
    </rPh>
    <rPh sb="4" eb="5">
      <t>ネン</t>
    </rPh>
    <phoneticPr fontId="18"/>
  </si>
  <si>
    <t>平成16年</t>
    <rPh sb="0" eb="2">
      <t>ヘイセイ</t>
    </rPh>
    <rPh sb="4" eb="5">
      <t>ネン</t>
    </rPh>
    <phoneticPr fontId="18"/>
  </si>
  <si>
    <t>平成18年</t>
    <rPh sb="0" eb="2">
      <t>ヘイセイ</t>
    </rPh>
    <rPh sb="4" eb="5">
      <t>ネン</t>
    </rPh>
    <phoneticPr fontId="18"/>
  </si>
  <si>
    <r>
      <t>平成21年</t>
    </r>
    <r>
      <rPr>
        <sz val="10"/>
        <color indexed="9"/>
        <rFont val="ＭＳ 明朝"/>
        <family val="1"/>
        <charset val="128"/>
      </rPr>
      <t/>
    </r>
    <rPh sb="0" eb="2">
      <t>ヘイセイ</t>
    </rPh>
    <rPh sb="4" eb="5">
      <t>ネン</t>
    </rPh>
    <phoneticPr fontId="18"/>
  </si>
  <si>
    <r>
      <t>平成22年</t>
    </r>
    <r>
      <rPr>
        <sz val="10"/>
        <color indexed="9"/>
        <rFont val="ＭＳ 明朝"/>
        <family val="1"/>
        <charset val="128"/>
      </rPr>
      <t/>
    </r>
    <rPh sb="0" eb="2">
      <t>ヘイセイ</t>
    </rPh>
    <rPh sb="4" eb="5">
      <t>ネン</t>
    </rPh>
    <phoneticPr fontId="18"/>
  </si>
  <si>
    <r>
      <t>平成23年</t>
    </r>
    <r>
      <rPr>
        <sz val="10"/>
        <color indexed="9"/>
        <rFont val="ＭＳ 明朝"/>
        <family val="1"/>
        <charset val="128"/>
      </rPr>
      <t/>
    </r>
    <rPh sb="0" eb="2">
      <t>ヘイセイ</t>
    </rPh>
    <rPh sb="4" eb="5">
      <t>ネン</t>
    </rPh>
    <phoneticPr fontId="18"/>
  </si>
  <si>
    <r>
      <t>平成24年</t>
    </r>
    <r>
      <rPr>
        <sz val="10"/>
        <color indexed="9"/>
        <rFont val="ＭＳ 明朝"/>
        <family val="1"/>
        <charset val="128"/>
      </rPr>
      <t/>
    </r>
    <rPh sb="0" eb="2">
      <t>ヘイセイ</t>
    </rPh>
    <rPh sb="4" eb="5">
      <t>ネン</t>
    </rPh>
    <phoneticPr fontId="18"/>
  </si>
  <si>
    <r>
      <t>平成25年</t>
    </r>
    <r>
      <rPr>
        <sz val="10"/>
        <color indexed="9"/>
        <rFont val="ＭＳ 明朝"/>
        <family val="1"/>
        <charset val="128"/>
      </rPr>
      <t/>
    </r>
    <rPh sb="0" eb="2">
      <t>ヘイセイ</t>
    </rPh>
    <rPh sb="4" eb="5">
      <t>ネン</t>
    </rPh>
    <phoneticPr fontId="18"/>
  </si>
  <si>
    <r>
      <t>平成26年</t>
    </r>
    <r>
      <rPr>
        <sz val="10"/>
        <color indexed="9"/>
        <rFont val="ＭＳ 明朝"/>
        <family val="1"/>
        <charset val="128"/>
      </rPr>
      <t/>
    </r>
    <rPh sb="0" eb="2">
      <t>ヘイセイ</t>
    </rPh>
    <rPh sb="4" eb="5">
      <t>ネン</t>
    </rPh>
    <phoneticPr fontId="18"/>
  </si>
  <si>
    <r>
      <t>平成27年</t>
    </r>
    <r>
      <rPr>
        <sz val="10"/>
        <color indexed="9"/>
        <rFont val="ＭＳ 明朝"/>
        <family val="1"/>
        <charset val="128"/>
      </rPr>
      <t/>
    </r>
    <rPh sb="0" eb="2">
      <t>ヘイセイ</t>
    </rPh>
    <rPh sb="4" eb="5">
      <t>ネン</t>
    </rPh>
    <phoneticPr fontId="18"/>
  </si>
  <si>
    <t>平成28</t>
    <rPh sb="0" eb="2">
      <t>ヘイセイ</t>
    </rPh>
    <phoneticPr fontId="18"/>
  </si>
  <si>
    <t>平成29</t>
    <rPh sb="0" eb="2">
      <t>ヘイセイ</t>
    </rPh>
    <phoneticPr fontId="18"/>
  </si>
  <si>
    <t>29年　１月</t>
    <phoneticPr fontId="18"/>
  </si>
  <si>
    <t xml:space="preserve">   　 　３　</t>
    <phoneticPr fontId="18"/>
  </si>
  <si>
    <t>４　</t>
    <phoneticPr fontId="18"/>
  </si>
  <si>
    <t xml:space="preserve">   　 　５　</t>
    <phoneticPr fontId="18"/>
  </si>
  <si>
    <t>７　</t>
    <phoneticPr fontId="18"/>
  </si>
  <si>
    <t xml:space="preserve">    　２　</t>
    <phoneticPr fontId="18"/>
  </si>
  <si>
    <t xml:space="preserve">     ６　</t>
    <phoneticPr fontId="18"/>
  </si>
  <si>
    <t xml:space="preserve">     　８　</t>
    <phoneticPr fontId="18"/>
  </si>
  <si>
    <t xml:space="preserve">   　 　９　</t>
    <phoneticPr fontId="18"/>
  </si>
  <si>
    <t xml:space="preserve">     　１０　</t>
    <phoneticPr fontId="18"/>
  </si>
  <si>
    <t xml:space="preserve">   　 　１１　</t>
    <phoneticPr fontId="18"/>
  </si>
  <si>
    <t xml:space="preserve">     １２　</t>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</si>
</sst>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 numFmtId="211" formatCode="_ * #,##0.0_ ;_ * \-#,##0.0_ ;_ * \-_ ;_ @_ "/>
    <numFmt numFmtId="212" formatCode="_ * #,##0\ ;_ * \△#,##0\ ;_ * \-_ ;_ @_ "/>
    <numFmt numFmtId="213" formatCode="#,##0;&quot;△ &quot;#,##0"/>
  </numFmts>
  <fonts count="32" x14ac:knownFonts="1">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b/>
      <sz val="9"/>
      <name val="ＭＳ 明朝"/>
      <family val="1"/>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b/>
      <sz val="16"/>
      <name val="ＭＳ 明朝"/>
      <family val="1"/>
      <charset val="128"/>
    </font>
    <font>
      <b/>
      <sz val="9"/>
      <color indexed="81"/>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0"/>
      <color theme="0"/>
      <name val="ＭＳ 明朝"/>
      <family val="1"/>
      <charset val="128"/>
    </font>
    <font>
      <sz val="11"/>
      <color theme="0" tint="-0.34998626667073579"/>
      <name val="ＭＳ Ｐゴシック"/>
      <family val="3"/>
      <charset val="128"/>
    </font>
    <font>
      <sz val="10"/>
      <color theme="0" tint="-0.34998626667073579"/>
      <name val="ＭＳ 明朝"/>
      <family val="1"/>
      <charset val="128"/>
    </font>
    <font>
      <b/>
      <sz val="10"/>
      <color theme="0" tint="-0.34998626667073579"/>
      <name val="ＭＳ 明朝"/>
      <family val="1"/>
      <charset val="128"/>
    </font>
    <font>
      <sz val="9"/>
      <color theme="0" tint="-0.34998626667073579"/>
      <name val="ＭＳ Ｐゴシック"/>
      <family val="3"/>
      <charset val="128"/>
    </font>
    <font>
      <sz val="11"/>
      <color theme="0" tint="-0.34998626667073579"/>
      <name val="ＭＳ 明朝"/>
      <family val="1"/>
      <charset val="128"/>
    </font>
    <font>
      <sz val="10"/>
      <color theme="0" tint="-0.34998626667073579"/>
      <name val="ＭＳ Ｐゴシック"/>
      <family val="3"/>
      <charset val="128"/>
    </font>
  </fonts>
  <fills count="2">
    <fill>
      <patternFill patternType="none"/>
    </fill>
    <fill>
      <patternFill patternType="gray125"/>
    </fill>
  </fills>
  <borders count="1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style="thin">
        <color indexed="8"/>
      </left>
      <right style="thin">
        <color indexed="64"/>
      </right>
      <top/>
      <bottom style="thin">
        <color indexed="64"/>
      </bottom>
      <diagonal/>
    </border>
    <border>
      <left/>
      <right style="medium">
        <color auto="1"/>
      </right>
      <top/>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style="thin">
        <color indexed="64"/>
      </left>
      <right/>
      <top style="thin">
        <color indexed="64"/>
      </top>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9" fontId="17" fillId="0" borderId="0" applyFill="0" applyBorder="0" applyProtection="0">
      <alignment vertical="center"/>
    </xf>
    <xf numFmtId="38" fontId="12" fillId="0" borderId="0" applyFont="0" applyFill="0" applyBorder="0" applyAlignment="0" applyProtection="0"/>
    <xf numFmtId="38" fontId="12" fillId="0" borderId="0" applyFont="0" applyFill="0" applyBorder="0" applyAlignment="0" applyProtection="0"/>
    <xf numFmtId="0" fontId="17" fillId="0" borderId="0">
      <alignment vertical="center"/>
    </xf>
    <xf numFmtId="0" fontId="12" fillId="0" borderId="0" applyBorder="0"/>
    <xf numFmtId="0" fontId="12" fillId="0" borderId="0" applyBorder="0"/>
  </cellStyleXfs>
  <cellXfs count="1108">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0" xfId="0" applyNumberFormat="1" applyFont="1" applyBorder="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3" fillId="0" borderId="5"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3" fillId="0" borderId="6" xfId="0"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0" xfId="0" applyFont="1" applyBorder="1" applyAlignment="1">
      <alignment vertical="center"/>
    </xf>
    <xf numFmtId="176" fontId="3" fillId="0" borderId="9" xfId="0" applyNumberFormat="1" applyFont="1" applyFill="1" applyBorder="1" applyAlignment="1">
      <alignment vertical="center"/>
    </xf>
    <xf numFmtId="185" fontId="3" fillId="0" borderId="5" xfId="0" applyNumberFormat="1" applyFont="1" applyFill="1" applyBorder="1" applyAlignment="1">
      <alignment horizontal="right" vertical="center" indent="1"/>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8" fillId="0" borderId="0" xfId="0" applyFont="1" applyFill="1" applyAlignment="1">
      <alignment vertical="center"/>
    </xf>
    <xf numFmtId="0" fontId="6"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9"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7" fillId="0" borderId="0" xfId="0" applyFont="1" applyAlignment="1">
      <alignment vertical="top"/>
    </xf>
    <xf numFmtId="0" fontId="1" fillId="0" borderId="0" xfId="0" applyFont="1" applyAlignment="1">
      <alignment horizontal="left" vertical="center" shrinkToFit="1"/>
    </xf>
    <xf numFmtId="0" fontId="7" fillId="0" borderId="0" xfId="0" applyFont="1" applyAlignment="1">
      <alignment vertical="center"/>
    </xf>
    <xf numFmtId="0" fontId="7"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89"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0" fontId="1" fillId="0" borderId="9" xfId="0"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0" fontId="1" fillId="0" borderId="0" xfId="0" applyFont="1" applyBorder="1" applyAlignment="1">
      <alignment horizontal="center"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2"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2"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0" fontId="8" fillId="0" borderId="0" xfId="4" applyFont="1" applyFill="1" applyAlignment="1">
      <alignment vertical="center"/>
    </xf>
    <xf numFmtId="0" fontId="9" fillId="0" borderId="0" xfId="4" applyFont="1" applyFill="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179" fontId="3" fillId="0" borderId="5"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8"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7" fillId="0" borderId="19" xfId="0" applyFont="1" applyBorder="1">
      <alignment vertical="center"/>
    </xf>
    <xf numFmtId="176" fontId="3" fillId="0" borderId="35" xfId="0" applyNumberFormat="1" applyFont="1" applyBorder="1" applyAlignment="1">
      <alignment vertical="center"/>
    </xf>
    <xf numFmtId="0" fontId="7"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0" fontId="1" fillId="0" borderId="33" xfId="0" applyFont="1" applyBorder="1" applyAlignment="1">
      <alignment horizontal="center"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6"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8" fillId="0" borderId="19" xfId="0" applyFont="1" applyFill="1" applyBorder="1" applyAlignment="1">
      <alignment vertical="center"/>
    </xf>
    <xf numFmtId="0" fontId="8"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0" fontId="8" fillId="0" borderId="0" xfId="0" applyFont="1" applyFill="1" applyBorder="1" applyAlignment="1">
      <alignment horizontal="distributed"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3" fillId="0" borderId="54" xfId="0" applyFont="1" applyFill="1" applyBorder="1" applyAlignment="1">
      <alignment horizontal="distributed" vertical="center"/>
    </xf>
    <xf numFmtId="0" fontId="1" fillId="0" borderId="50" xfId="0" applyFont="1" applyFill="1" applyBorder="1" applyAlignment="1">
      <alignment horizontal="distributed" vertical="center"/>
    </xf>
    <xf numFmtId="0" fontId="6"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3" fillId="0" borderId="50" xfId="0" applyFont="1" applyFill="1" applyBorder="1" applyAlignment="1">
      <alignment horizontal="distributed" vertical="center"/>
    </xf>
    <xf numFmtId="0" fontId="6"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209" fontId="1" fillId="0" borderId="21"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3"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3" fillId="0" borderId="19" xfId="0" applyNumberFormat="1" applyFont="1" applyFill="1" applyBorder="1" applyAlignment="1">
      <alignment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0" fontId="1" fillId="0" borderId="21" xfId="0" applyFont="1" applyFill="1" applyBorder="1" applyAlignment="1">
      <alignment vertical="center"/>
    </xf>
    <xf numFmtId="0" fontId="8"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2" fillId="0" borderId="57" xfId="0" applyFont="1" applyFill="1" applyBorder="1">
      <alignment vertical="center"/>
    </xf>
    <xf numFmtId="0" fontId="1" fillId="0" borderId="5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5" xfId="0" applyFont="1" applyFill="1" applyBorder="1" applyAlignment="1">
      <alignment horizontal="center" vertical="center"/>
    </xf>
    <xf numFmtId="178" fontId="3" fillId="0" borderId="0" xfId="4" applyNumberFormat="1" applyFont="1" applyFill="1" applyBorder="1" applyAlignment="1">
      <alignment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3"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78" fontId="3" fillId="0" borderId="9" xfId="4" applyNumberFormat="1" applyFont="1" applyFill="1" applyBorder="1" applyAlignment="1">
      <alignment vertical="center"/>
    </xf>
    <xf numFmtId="186" fontId="3" fillId="0" borderId="13"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3" fontId="3" fillId="0" borderId="35"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3" fillId="0" borderId="0" xfId="4" applyNumberFormat="1"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99" fontId="3" fillId="0" borderId="21" xfId="0" applyNumberFormat="1" applyFont="1" applyFill="1" applyBorder="1" applyAlignment="1">
      <alignment horizontal="center" vertical="center"/>
    </xf>
    <xf numFmtId="199" fontId="3" fillId="0" borderId="59" xfId="0" applyNumberFormat="1" applyFont="1" applyFill="1" applyBorder="1" applyAlignment="1">
      <alignment horizontal="center"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3" fillId="0" borderId="0" xfId="0" applyFont="1" applyAlignment="1">
      <alignment vertical="center"/>
    </xf>
    <xf numFmtId="0" fontId="7"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205" fontId="1" fillId="0" borderId="35" xfId="0" applyNumberFormat="1" applyFont="1" applyBorder="1" applyAlignment="1">
      <alignment horizontal="righ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41" fontId="1" fillId="0" borderId="0" xfId="0" applyNumberFormat="1" applyFont="1" applyBorder="1" applyAlignment="1">
      <alignment horizontal="right" vertical="center" shrinkToFit="1"/>
    </xf>
    <xf numFmtId="0" fontId="13" fillId="0" borderId="0" xfId="6" applyFont="1" applyAlignment="1">
      <alignment horizontal="centerContinuous" vertical="center"/>
    </xf>
    <xf numFmtId="0" fontId="12" fillId="0" borderId="0" xfId="6" applyAlignment="1">
      <alignment horizontal="centerContinuous"/>
    </xf>
    <xf numFmtId="0" fontId="12" fillId="0" borderId="0" xfId="6"/>
    <xf numFmtId="0" fontId="15" fillId="0" borderId="0" xfId="6" applyFont="1" applyAlignment="1">
      <alignment vertical="center"/>
    </xf>
    <xf numFmtId="0" fontId="1" fillId="0" borderId="0" xfId="6" applyFont="1" applyAlignment="1">
      <alignment vertical="center"/>
    </xf>
    <xf numFmtId="0" fontId="8" fillId="0" borderId="38" xfId="6" applyFont="1" applyBorder="1" applyAlignment="1">
      <alignment horizontal="center" vertical="center"/>
    </xf>
    <xf numFmtId="0" fontId="8" fillId="0" borderId="0" xfId="6" applyFont="1" applyBorder="1" applyAlignment="1">
      <alignment horizontal="center" vertical="center"/>
    </xf>
    <xf numFmtId="0" fontId="12" fillId="0" borderId="0" xfId="6" applyBorder="1"/>
    <xf numFmtId="0" fontId="8" fillId="0" borderId="0" xfId="6" applyFont="1"/>
    <xf numFmtId="176" fontId="1" fillId="0" borderId="0" xfId="6" applyNumberFormat="1" applyFont="1" applyBorder="1" applyAlignment="1">
      <alignment vertical="center"/>
    </xf>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0" fontId="16"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3"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0" fontId="22"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8"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9" fillId="0" borderId="0" xfId="5" applyFont="1" applyFill="1" applyAlignment="1">
      <alignment horizontal="centerContinuous" vertical="center"/>
    </xf>
    <xf numFmtId="0" fontId="1" fillId="0" borderId="0" xfId="5" applyFont="1" applyFill="1" applyAlignment="1">
      <alignment vertical="center"/>
    </xf>
    <xf numFmtId="0" fontId="1" fillId="0" borderId="0" xfId="5" applyFont="1" applyFill="1" applyAlignment="1">
      <alignment horizontal="right" vertical="center"/>
    </xf>
    <xf numFmtId="0" fontId="1" fillId="0" borderId="38" xfId="5" applyFont="1" applyFill="1" applyBorder="1" applyAlignment="1">
      <alignment horizontal="center" vertical="center"/>
    </xf>
    <xf numFmtId="0" fontId="12" fillId="0" borderId="0" xfId="5" applyFont="1" applyFill="1"/>
    <xf numFmtId="0" fontId="12"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0" fontId="1" fillId="0" borderId="64" xfId="5" applyFont="1" applyFill="1" applyBorder="1" applyAlignment="1">
      <alignment horizontal="center" vertical="center"/>
    </xf>
    <xf numFmtId="0" fontId="1" fillId="0" borderId="65" xfId="0" applyFont="1" applyFill="1" applyBorder="1" applyAlignment="1">
      <alignment horizontal="center" vertical="center"/>
    </xf>
    <xf numFmtId="177" fontId="1" fillId="0" borderId="23" xfId="0" applyNumberFormat="1" applyFont="1" applyFill="1" applyBorder="1" applyAlignment="1">
      <alignment horizontal="center" vertical="center"/>
    </xf>
    <xf numFmtId="0" fontId="3" fillId="0" borderId="24" xfId="0" applyFont="1" applyFill="1" applyBorder="1" applyAlignment="1">
      <alignment horizontal="center" vertical="center"/>
    </xf>
    <xf numFmtId="4" fontId="3" fillId="0" borderId="5" xfId="0" applyNumberFormat="1" applyFont="1" applyFill="1" applyBorder="1" applyAlignment="1">
      <alignment vertical="center"/>
    </xf>
    <xf numFmtId="187" fontId="3" fillId="0" borderId="0" xfId="1" applyNumberFormat="1" applyFont="1" applyFill="1" applyBorder="1" applyAlignment="1" applyProtection="1">
      <alignment horizontal="right" vertical="center"/>
    </xf>
    <xf numFmtId="0" fontId="3" fillId="0" borderId="25" xfId="0" applyFont="1" applyFill="1" applyBorder="1" applyAlignment="1">
      <alignment horizontal="justify" vertical="center" indent="1"/>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6" fillId="0" borderId="19" xfId="0" applyFont="1" applyFill="1" applyBorder="1" applyAlignment="1">
      <alignment horizontal="center"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77" fontId="1" fillId="0" borderId="0" xfId="0" applyNumberFormat="1" applyFont="1" applyFill="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186" fontId="3" fillId="0" borderId="9" xfId="0" applyNumberFormat="1" applyFont="1" applyFill="1" applyBorder="1" applyAlignment="1">
      <alignment vertical="center"/>
    </xf>
    <xf numFmtId="0" fontId="8" fillId="0" borderId="0" xfId="0"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0" fontId="1" fillId="0" borderId="0" xfId="6" applyFont="1" applyAlignment="1">
      <alignment horizontal="center"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22" fillId="0" borderId="0" xfId="0" applyFont="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186" fontId="1" fillId="0" borderId="90" xfId="0" applyNumberFormat="1" applyFont="1" applyFill="1" applyBorder="1" applyAlignment="1">
      <alignment vertical="center"/>
    </xf>
    <xf numFmtId="192" fontId="1" fillId="0" borderId="90" xfId="0" applyNumberFormat="1" applyFont="1" applyFill="1" applyBorder="1" applyAlignment="1">
      <alignment vertical="center"/>
    </xf>
    <xf numFmtId="193" fontId="1" fillId="0" borderId="90" xfId="0" applyNumberFormat="1" applyFont="1" applyFill="1" applyBorder="1" applyAlignment="1">
      <alignment vertical="center"/>
    </xf>
    <xf numFmtId="186" fontId="1" fillId="0" borderId="90"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39" xfId="0" applyFont="1" applyBorder="1" applyAlignment="1">
      <alignment horizontal="center"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9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176" fontId="1" fillId="0" borderId="0" xfId="0" applyNumberFormat="1" applyFont="1" applyFill="1" applyBorder="1">
      <alignment vertical="center"/>
    </xf>
    <xf numFmtId="176" fontId="3" fillId="0" borderId="2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4"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distributed" vertical="center"/>
    </xf>
    <xf numFmtId="0" fontId="1" fillId="0" borderId="102" xfId="0" applyFont="1" applyBorder="1" applyAlignment="1">
      <alignment horizontal="center" vertical="center"/>
    </xf>
    <xf numFmtId="0" fontId="1" fillId="0" borderId="103" xfId="0" applyFont="1" applyFill="1" applyBorder="1" applyAlignment="1">
      <alignment horizontal="right" vertical="center"/>
    </xf>
    <xf numFmtId="0" fontId="1" fillId="0" borderId="90" xfId="0" applyFont="1" applyFill="1" applyBorder="1" applyAlignment="1">
      <alignment horizontal="right" vertical="center"/>
    </xf>
    <xf numFmtId="0" fontId="1" fillId="0" borderId="91" xfId="0" applyFont="1" applyFill="1" applyBorder="1" applyAlignment="1">
      <alignment horizontal="right" vertical="center"/>
    </xf>
    <xf numFmtId="0" fontId="1" fillId="0" borderId="68" xfId="0" applyFont="1" applyBorder="1" applyAlignment="1">
      <alignment vertical="center"/>
    </xf>
    <xf numFmtId="0" fontId="1" fillId="0" borderId="57" xfId="0" applyFont="1" applyBorder="1" applyAlignment="1">
      <alignment vertical="center"/>
    </xf>
    <xf numFmtId="0" fontId="3" fillId="0" borderId="57" xfId="0" applyFont="1" applyBorder="1" applyAlignment="1">
      <alignment vertical="center"/>
    </xf>
    <xf numFmtId="0" fontId="1" fillId="0" borderId="58" xfId="0" applyFont="1" applyBorder="1" applyAlignment="1">
      <alignment vertical="center"/>
    </xf>
    <xf numFmtId="0" fontId="1" fillId="0" borderId="4" xfId="0" applyFont="1" applyFill="1" applyBorder="1" applyAlignment="1">
      <alignment horizontal="center" vertical="center"/>
    </xf>
    <xf numFmtId="205" fontId="1" fillId="0" borderId="0" xfId="0" applyNumberFormat="1" applyFont="1" applyBorder="1" applyAlignment="1">
      <alignment horizontal="right" vertical="center"/>
    </xf>
    <xf numFmtId="203" fontId="3" fillId="0" borderId="0" xfId="0" applyNumberFormat="1" applyFont="1" applyFill="1" applyBorder="1" applyAlignment="1">
      <alignment vertical="center"/>
    </xf>
    <xf numFmtId="0" fontId="3" fillId="0" borderId="90" xfId="0" applyFont="1" applyFill="1" applyBorder="1" applyAlignment="1">
      <alignment horizontal="right" vertical="center"/>
    </xf>
    <xf numFmtId="188" fontId="1" fillId="0" borderId="90" xfId="0" quotePrefix="1"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5" xfId="0" applyNumberFormat="1" applyFont="1" applyBorder="1" applyAlignment="1">
      <alignment horizontal="right" vertical="center"/>
    </xf>
    <xf numFmtId="0" fontId="1" fillId="0" borderId="19" xfId="0" applyFont="1" applyBorder="1" applyAlignment="1">
      <alignment horizontal="center" vertical="center"/>
    </xf>
    <xf numFmtId="176" fontId="1" fillId="0" borderId="5" xfId="0" applyNumberFormat="1" applyFont="1" applyBorder="1" applyAlignment="1">
      <alignment vertical="center"/>
    </xf>
    <xf numFmtId="211" fontId="1" fillId="0" borderId="0" xfId="0" applyNumberFormat="1" applyFont="1" applyBorder="1" applyAlignment="1">
      <alignment horizontal="right" vertical="center"/>
    </xf>
    <xf numFmtId="197" fontId="1" fillId="0" borderId="9" xfId="0" applyNumberFormat="1" applyFont="1" applyFill="1" applyBorder="1" applyAlignment="1">
      <alignment vertical="center"/>
    </xf>
    <xf numFmtId="197" fontId="1" fillId="0" borderId="0" xfId="0" applyNumberFormat="1" applyFont="1" applyFill="1" applyBorder="1" applyAlignment="1">
      <alignment vertical="center"/>
    </xf>
    <xf numFmtId="197" fontId="3" fillId="0" borderId="0" xfId="0" applyNumberFormat="1" applyFont="1" applyFill="1" applyBorder="1" applyAlignment="1">
      <alignment vertical="center"/>
    </xf>
    <xf numFmtId="197" fontId="1" fillId="0" borderId="20" xfId="0" applyNumberFormat="1" applyFont="1" applyFill="1" applyBorder="1" applyAlignment="1">
      <alignment vertical="center"/>
    </xf>
    <xf numFmtId="185" fontId="1" fillId="0" borderId="35" xfId="0" applyNumberFormat="1" applyFont="1" applyFill="1" applyBorder="1" applyAlignment="1">
      <alignment horizontal="right"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176" fontId="3" fillId="0" borderId="0" xfId="0" applyNumberFormat="1" applyFont="1" applyBorder="1" applyAlignment="1">
      <alignment vertical="center"/>
    </xf>
    <xf numFmtId="0" fontId="1" fillId="0" borderId="26" xfId="0" applyFont="1" applyBorder="1" applyAlignment="1">
      <alignment horizontal="center"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0" fontId="1" fillId="0" borderId="26" xfId="0" applyFont="1" applyBorder="1" applyAlignment="1">
      <alignment horizontal="center" vertical="center"/>
    </xf>
    <xf numFmtId="176" fontId="1" fillId="0" borderId="20" xfId="0" applyNumberFormat="1" applyFont="1" applyBorder="1" applyAlignment="1">
      <alignment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33" xfId="0" applyFont="1" applyBorder="1" applyAlignment="1">
      <alignment horizontal="center"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Fill="1"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177" fontId="3" fillId="0" borderId="0" xfId="0" applyNumberFormat="1" applyFont="1" applyBorder="1" applyAlignment="1">
      <alignment vertical="center"/>
    </xf>
    <xf numFmtId="0" fontId="1" fillId="0" borderId="28" xfId="0" applyFont="1" applyBorder="1" applyAlignment="1">
      <alignment horizontal="center" vertical="center"/>
    </xf>
    <xf numFmtId="0" fontId="1" fillId="0" borderId="19" xfId="0" applyFont="1" applyBorder="1" applyAlignment="1">
      <alignment horizontal="justify" vertical="center"/>
    </xf>
    <xf numFmtId="206" fontId="1" fillId="0" borderId="35"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0" fontId="1" fillId="0" borderId="9" xfId="0" applyFont="1" applyBorder="1" applyAlignment="1">
      <alignment horizontal="center" vertical="center"/>
    </xf>
    <xf numFmtId="206" fontId="1" fillId="0" borderId="0" xfId="0" applyNumberFormat="1" applyFont="1" applyFill="1" applyBorder="1" applyAlignment="1">
      <alignment horizontal="right" vertical="center"/>
    </xf>
    <xf numFmtId="0" fontId="1" fillId="0" borderId="105" xfId="0" applyFont="1" applyFill="1" applyBorder="1" applyAlignment="1">
      <alignment horizontal="distributed" vertical="center"/>
    </xf>
    <xf numFmtId="41" fontId="1" fillId="0" borderId="0" xfId="0" applyNumberFormat="1" applyFont="1" applyFill="1" applyBorder="1">
      <alignment vertical="center"/>
    </xf>
    <xf numFmtId="41" fontId="1" fillId="0" borderId="0" xfId="4" applyNumberFormat="1" applyFont="1" applyFill="1" applyBorder="1" applyAlignment="1">
      <alignment vertical="center"/>
    </xf>
    <xf numFmtId="0" fontId="1" fillId="0" borderId="0" xfId="0" applyFont="1" applyFill="1" applyBorder="1" applyAlignment="1">
      <alignment vertical="center"/>
    </xf>
    <xf numFmtId="177" fontId="1" fillId="0" borderId="0" xfId="0" applyNumberFormat="1" applyFont="1" applyBorder="1" applyAlignment="1">
      <alignment vertical="center"/>
    </xf>
    <xf numFmtId="177" fontId="1" fillId="0" borderId="20" xfId="0" applyNumberFormat="1" applyFont="1" applyBorder="1" applyAlignment="1">
      <alignment vertical="center"/>
    </xf>
    <xf numFmtId="181" fontId="1" fillId="0" borderId="106" xfId="2" applyNumberFormat="1" applyFont="1" applyFill="1" applyBorder="1" applyAlignment="1">
      <alignment horizontal="right" vertical="center"/>
    </xf>
    <xf numFmtId="176" fontId="3" fillId="0" borderId="5" xfId="0" applyNumberFormat="1" applyFont="1" applyFill="1" applyBorder="1" applyAlignment="1">
      <alignment vertical="center"/>
    </xf>
    <xf numFmtId="0" fontId="1" fillId="0" borderId="13" xfId="0" applyFont="1" applyFill="1" applyBorder="1" applyAlignment="1">
      <alignment vertical="center"/>
    </xf>
    <xf numFmtId="176" fontId="1" fillId="0" borderId="13" xfId="0" applyNumberFormat="1" applyFont="1" applyFill="1" applyBorder="1" applyAlignment="1">
      <alignment vertical="center"/>
    </xf>
    <xf numFmtId="176" fontId="1" fillId="0" borderId="35"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35" xfId="0" applyNumberFormat="1" applyFont="1" applyFill="1" applyBorder="1" applyAlignment="1">
      <alignment vertical="center"/>
    </xf>
    <xf numFmtId="198" fontId="1" fillId="0" borderId="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5"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20" xfId="0" applyFont="1" applyFill="1" applyBorder="1" applyAlignment="1">
      <alignment vertical="center"/>
    </xf>
    <xf numFmtId="0" fontId="1" fillId="0" borderId="37" xfId="0" applyFont="1" applyFill="1" applyBorder="1" applyAlignment="1">
      <alignment vertical="center"/>
    </xf>
    <xf numFmtId="0" fontId="1" fillId="0" borderId="42" xfId="0" applyFont="1" applyFill="1" applyBorder="1" applyAlignment="1">
      <alignment vertical="center"/>
    </xf>
    <xf numFmtId="176" fontId="3" fillId="0" borderId="9" xfId="0" applyNumberFormat="1" applyFont="1" applyFill="1" applyBorder="1">
      <alignment vertical="center"/>
    </xf>
    <xf numFmtId="176" fontId="3" fillId="0" borderId="0" xfId="0" applyNumberFormat="1" applyFont="1" applyFill="1" applyBorder="1">
      <alignment vertical="center"/>
    </xf>
    <xf numFmtId="41" fontId="1" fillId="0" borderId="106" xfId="0" applyNumberFormat="1" applyFont="1" applyBorder="1" applyAlignment="1">
      <alignment horizontal="right" vertical="center" shrinkToFit="1"/>
    </xf>
    <xf numFmtId="0" fontId="1" fillId="0" borderId="107" xfId="0" applyFont="1" applyBorder="1" applyAlignment="1">
      <alignment horizontal="distributed" vertical="center"/>
    </xf>
    <xf numFmtId="0" fontId="1" fillId="0" borderId="66" xfId="0" applyFont="1" applyBorder="1" applyAlignment="1">
      <alignment horizontal="distributed" vertical="center"/>
    </xf>
    <xf numFmtId="0" fontId="1" fillId="0" borderId="66" xfId="0" applyFont="1" applyBorder="1" applyAlignment="1">
      <alignment horizontal="justify" vertical="center"/>
    </xf>
    <xf numFmtId="0" fontId="1" fillId="0" borderId="66" xfId="0" applyFont="1" applyFill="1" applyBorder="1" applyAlignment="1">
      <alignment vertical="center" shrinkToFit="1"/>
    </xf>
    <xf numFmtId="0" fontId="1" fillId="0" borderId="93" xfId="0" applyFont="1" applyFill="1" applyBorder="1" applyAlignment="1">
      <alignment vertical="center" wrapText="1"/>
    </xf>
    <xf numFmtId="0" fontId="1" fillId="0" borderId="103" xfId="0" applyFont="1" applyBorder="1" applyAlignment="1">
      <alignment horizontal="right" vertical="center"/>
    </xf>
    <xf numFmtId="0" fontId="1" fillId="0" borderId="90" xfId="0" applyFont="1" applyBorder="1" applyAlignment="1">
      <alignment horizontal="right" vertical="center"/>
    </xf>
    <xf numFmtId="190" fontId="1" fillId="0" borderId="90" xfId="0" applyNumberFormat="1" applyFont="1" applyBorder="1" applyAlignment="1">
      <alignment horizontal="right" vertical="center"/>
    </xf>
    <xf numFmtId="0" fontId="3" fillId="0" borderId="90" xfId="0" applyFont="1" applyBorder="1" applyAlignment="1">
      <alignment horizontal="right" vertical="center"/>
    </xf>
    <xf numFmtId="0" fontId="1" fillId="0" borderId="91" xfId="0" applyFont="1" applyBorder="1" applyAlignment="1">
      <alignment horizontal="right" vertical="center"/>
    </xf>
    <xf numFmtId="0" fontId="1" fillId="0" borderId="0" xfId="0" applyFont="1" applyFill="1" applyAlignment="1">
      <alignment horizontal="right"/>
    </xf>
    <xf numFmtId="0" fontId="1" fillId="0" borderId="19" xfId="0" applyNumberFormat="1" applyFont="1" applyFill="1" applyBorder="1" applyAlignment="1">
      <alignment vertical="center"/>
    </xf>
    <xf numFmtId="0" fontId="1" fillId="0" borderId="13" xfId="0" applyNumberFormat="1" applyFont="1" applyFill="1" applyBorder="1" applyAlignment="1">
      <alignment vertical="center"/>
    </xf>
    <xf numFmtId="176" fontId="1" fillId="0" borderId="110" xfId="2" applyNumberFormat="1" applyFont="1" applyFill="1" applyBorder="1" applyAlignment="1">
      <alignment vertical="center"/>
    </xf>
    <xf numFmtId="176" fontId="1" fillId="0" borderId="95" xfId="2" applyNumberFormat="1" applyFont="1" applyFill="1" applyBorder="1" applyAlignment="1">
      <alignment vertical="center"/>
    </xf>
    <xf numFmtId="176" fontId="1" fillId="0" borderId="95" xfId="5" applyNumberFormat="1" applyFont="1" applyFill="1" applyBorder="1" applyAlignment="1">
      <alignment vertical="center"/>
    </xf>
    <xf numFmtId="181" fontId="1" fillId="0" borderId="95" xfId="2" applyNumberFormat="1" applyFont="1" applyFill="1" applyBorder="1" applyAlignment="1">
      <alignment horizontal="right" vertical="center"/>
    </xf>
    <xf numFmtId="181" fontId="1" fillId="0" borderId="96" xfId="2" applyNumberFormat="1" applyFont="1" applyFill="1" applyBorder="1" applyAlignment="1">
      <alignment horizontal="right" vertical="center"/>
    </xf>
    <xf numFmtId="0" fontId="1" fillId="0" borderId="104" xfId="0" applyFont="1" applyFill="1" applyBorder="1" applyAlignment="1">
      <alignment horizontal="center" vertical="center"/>
    </xf>
    <xf numFmtId="176" fontId="1" fillId="0" borderId="22" xfId="0" applyNumberFormat="1" applyFont="1" applyFill="1" applyBorder="1" applyAlignment="1">
      <alignment vertical="center"/>
    </xf>
    <xf numFmtId="179" fontId="1" fillId="0" borderId="22" xfId="4" applyNumberFormat="1" applyFont="1" applyFill="1" applyBorder="1" applyAlignment="1">
      <alignment horizontal="right" vertical="center"/>
    </xf>
    <xf numFmtId="186" fontId="1" fillId="0" borderId="109" xfId="4" applyNumberFormat="1" applyFont="1" applyFill="1" applyBorder="1" applyAlignment="1">
      <alignment vertical="center"/>
    </xf>
    <xf numFmtId="0" fontId="3" fillId="0" borderId="93" xfId="5" applyFont="1" applyFill="1" applyBorder="1" applyAlignment="1">
      <alignment horizontal="center" vertical="center"/>
    </xf>
    <xf numFmtId="177" fontId="1" fillId="0" borderId="20" xfId="5" applyNumberFormat="1" applyFont="1" applyFill="1" applyBorder="1" applyAlignment="1">
      <alignment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76" fontId="3" fillId="0" borderId="20" xfId="2" applyNumberFormat="1" applyFont="1" applyFill="1" applyBorder="1" applyAlignment="1">
      <alignment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94" fontId="3" fillId="0" borderId="5" xfId="0" applyNumberFormat="1" applyFont="1" applyFill="1" applyBorder="1" applyAlignment="1">
      <alignment vertical="center"/>
    </xf>
    <xf numFmtId="194" fontId="3" fillId="0" borderId="0" xfId="0" applyNumberFormat="1" applyFont="1" applyFill="1" applyBorder="1" applyAlignment="1">
      <alignment vertical="center"/>
    </xf>
    <xf numFmtId="194" fontId="3" fillId="0" borderId="35" xfId="0" applyNumberFormat="1" applyFont="1" applyFill="1" applyBorder="1" applyAlignment="1">
      <alignment vertical="center"/>
    </xf>
    <xf numFmtId="0" fontId="1" fillId="0" borderId="66" xfId="5" applyFont="1" applyFill="1" applyBorder="1" applyAlignment="1">
      <alignment horizontal="center" vertical="center"/>
    </xf>
    <xf numFmtId="179" fontId="1" fillId="0" borderId="0" xfId="5" applyNumberFormat="1" applyFont="1" applyFill="1" applyBorder="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0" xfId="0" applyFont="1" applyFill="1" applyBorder="1" applyAlignment="1">
      <alignment horizontal="distributed" vertical="center"/>
    </xf>
    <xf numFmtId="0" fontId="3" fillId="0" borderId="0" xfId="4" applyFont="1" applyFill="1" applyBorder="1" applyAlignment="1">
      <alignment horizontal="distributed" vertical="center"/>
    </xf>
    <xf numFmtId="0" fontId="1" fillId="0" borderId="18" xfId="0" applyFont="1" applyFill="1" applyBorder="1" applyAlignment="1">
      <alignment horizontal="center" vertical="center"/>
    </xf>
    <xf numFmtId="176" fontId="1" fillId="0" borderId="0" xfId="0" applyNumberFormat="1" applyFont="1" applyFill="1" applyBorder="1" applyAlignment="1">
      <alignment vertical="center"/>
    </xf>
    <xf numFmtId="189" fontId="1"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200" fontId="1"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189" fontId="1" fillId="0" borderId="9" xfId="0" applyNumberFormat="1" applyFont="1" applyFill="1" applyBorder="1" applyAlignment="1">
      <alignment horizontal="right" vertical="center"/>
    </xf>
    <xf numFmtId="176" fontId="1" fillId="0" borderId="20" xfId="0" applyNumberFormat="1" applyFont="1" applyFill="1" applyBorder="1" applyAlignment="1">
      <alignment vertical="center"/>
    </xf>
    <xf numFmtId="205" fontId="1" fillId="0" borderId="0" xfId="0" applyNumberFormat="1" applyFont="1" applyFill="1" applyBorder="1" applyAlignment="1">
      <alignment horizontal="righ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177" fontId="1" fillId="0" borderId="35" xfId="0" applyNumberFormat="1" applyFont="1" applyFill="1" applyBorder="1" applyAlignment="1">
      <alignment vertical="center"/>
    </xf>
    <xf numFmtId="177" fontId="3" fillId="0" borderId="35" xfId="0" applyNumberFormat="1" applyFont="1" applyFill="1" applyBorder="1" applyAlignment="1">
      <alignment vertical="center"/>
    </xf>
    <xf numFmtId="0" fontId="12" fillId="0" borderId="0" xfId="5" applyFont="1" applyFill="1" applyAlignment="1">
      <alignment horizontal="centerContinuous" vertical="center"/>
    </xf>
    <xf numFmtId="0" fontId="12" fillId="0" borderId="0" xfId="5" applyFont="1" applyFill="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0" fontId="3" fillId="0" borderId="0" xfId="5" applyFont="1" applyFill="1" applyBorder="1" applyAlignment="1">
      <alignment horizontal="center" vertical="center"/>
    </xf>
    <xf numFmtId="178" fontId="26" fillId="0" borderId="0" xfId="5" applyNumberFormat="1" applyFont="1" applyFill="1"/>
    <xf numFmtId="0" fontId="12" fillId="0" borderId="0" xfId="0" applyFont="1" applyFill="1" applyAlignment="1">
      <alignment vertical="center"/>
    </xf>
    <xf numFmtId="0" fontId="12" fillId="0" borderId="0" xfId="0" applyFont="1" applyFill="1">
      <alignment vertical="center"/>
    </xf>
    <xf numFmtId="176" fontId="12" fillId="0" borderId="0" xfId="0" applyNumberFormat="1" applyFont="1" applyFill="1">
      <alignment vertical="center"/>
    </xf>
    <xf numFmtId="0" fontId="1"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26" fillId="0" borderId="0" xfId="0" applyFont="1" applyFill="1" applyAlignment="1">
      <alignment vertical="center"/>
    </xf>
    <xf numFmtId="0" fontId="26" fillId="0" borderId="0" xfId="0" applyFont="1" applyFill="1">
      <alignment vertical="center"/>
    </xf>
    <xf numFmtId="0" fontId="27" fillId="0" borderId="0" xfId="0" applyFont="1" applyFill="1" applyBorder="1" applyAlignment="1">
      <alignment vertical="center"/>
    </xf>
    <xf numFmtId="176" fontId="27" fillId="0" borderId="0" xfId="0" applyNumberFormat="1" applyFont="1" applyFill="1" applyBorder="1" applyAlignment="1">
      <alignment vertical="center"/>
    </xf>
    <xf numFmtId="176" fontId="28" fillId="0" borderId="0" xfId="0" applyNumberFormat="1" applyFont="1" applyFill="1" applyBorder="1" applyAlignment="1">
      <alignment vertical="center"/>
    </xf>
    <xf numFmtId="198" fontId="27" fillId="0" borderId="0" xfId="0" applyNumberFormat="1" applyFont="1" applyFill="1" applyBorder="1" applyAlignment="1">
      <alignment vertical="center"/>
    </xf>
    <xf numFmtId="179" fontId="28" fillId="0" borderId="0" xfId="0" applyNumberFormat="1" applyFont="1" applyFill="1" applyBorder="1" applyAlignment="1">
      <alignment horizontal="right" vertical="center"/>
    </xf>
    <xf numFmtId="178" fontId="27" fillId="0" borderId="0" xfId="0" applyNumberFormat="1" applyFont="1" applyFill="1" applyBorder="1" applyAlignment="1">
      <alignment vertical="center"/>
    </xf>
    <xf numFmtId="182" fontId="27" fillId="0" borderId="0" xfId="0" applyNumberFormat="1" applyFont="1" applyFill="1" applyBorder="1" applyAlignment="1">
      <alignment vertical="center"/>
    </xf>
    <xf numFmtId="182" fontId="28" fillId="0" borderId="0" xfId="0" applyNumberFormat="1" applyFont="1" applyFill="1" applyBorder="1" applyAlignment="1">
      <alignment vertical="center"/>
    </xf>
    <xf numFmtId="0" fontId="27" fillId="0" borderId="0" xfId="0" applyFont="1" applyFill="1" applyBorder="1">
      <alignment vertical="center"/>
    </xf>
    <xf numFmtId="0" fontId="26" fillId="0" borderId="0" xfId="0" applyFont="1" applyFill="1" applyBorder="1" applyAlignment="1">
      <alignment vertical="center"/>
    </xf>
    <xf numFmtId="0" fontId="26" fillId="0" borderId="0" xfId="0" applyFont="1" applyFill="1" applyBorder="1">
      <alignment vertical="center"/>
    </xf>
    <xf numFmtId="0" fontId="27"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28" fillId="0" borderId="0" xfId="0" applyFont="1" applyFill="1" applyBorder="1" applyAlignment="1">
      <alignment vertical="center"/>
    </xf>
    <xf numFmtId="0" fontId="1" fillId="0" borderId="60"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57" xfId="0" applyFont="1" applyFill="1" applyBorder="1" applyAlignment="1">
      <alignment vertical="center"/>
    </xf>
    <xf numFmtId="211" fontId="3" fillId="0" borderId="0" xfId="0" applyNumberFormat="1" applyFont="1" applyFill="1" applyBorder="1" applyAlignment="1">
      <alignment horizontal="right" vertical="center"/>
    </xf>
    <xf numFmtId="3" fontId="7" fillId="0" borderId="0" xfId="0" applyNumberFormat="1" applyFont="1" applyFill="1">
      <alignment vertical="center"/>
    </xf>
    <xf numFmtId="3" fontId="12" fillId="0" borderId="0" xfId="0" applyNumberFormat="1" applyFont="1" applyFill="1">
      <alignment vertical="center"/>
    </xf>
    <xf numFmtId="3" fontId="7" fillId="0" borderId="0" xfId="0" applyNumberFormat="1" applyFont="1" applyFill="1" applyAlignment="1">
      <alignment horizontal="right" vertical="center"/>
    </xf>
    <xf numFmtId="176" fontId="3" fillId="0" borderId="2" xfId="0" applyNumberFormat="1" applyFont="1" applyFill="1" applyBorder="1">
      <alignment vertical="center"/>
    </xf>
    <xf numFmtId="186" fontId="3" fillId="0" borderId="9" xfId="0" applyNumberFormat="1" applyFont="1" applyFill="1" applyBorder="1">
      <alignment vertical="center"/>
    </xf>
    <xf numFmtId="208" fontId="3" fillId="0" borderId="34" xfId="0" applyNumberFormat="1" applyFont="1" applyFill="1" applyBorder="1">
      <alignment vertical="center"/>
    </xf>
    <xf numFmtId="186" fontId="3" fillId="0" borderId="0" xfId="0" applyNumberFormat="1" applyFont="1" applyFill="1" applyBorder="1">
      <alignment vertical="center"/>
    </xf>
    <xf numFmtId="208" fontId="3" fillId="0" borderId="35" xfId="0" applyNumberFormat="1" applyFont="1" applyFill="1" applyBorder="1">
      <alignment vertical="center"/>
    </xf>
    <xf numFmtId="186" fontId="1" fillId="0" borderId="0" xfId="0" applyNumberFormat="1" applyFont="1" applyFill="1" applyBorder="1">
      <alignment vertical="center"/>
    </xf>
    <xf numFmtId="208" fontId="1" fillId="0" borderId="35" xfId="0" applyNumberFormat="1" applyFont="1" applyFill="1" applyBorder="1">
      <alignment vertical="center"/>
    </xf>
    <xf numFmtId="186" fontId="3" fillId="0" borderId="20" xfId="0" applyNumberFormat="1" applyFont="1" applyFill="1" applyBorder="1">
      <alignment vertical="center"/>
    </xf>
    <xf numFmtId="3" fontId="1" fillId="0" borderId="0" xfId="0" applyNumberFormat="1" applyFont="1" applyFill="1">
      <alignment vertical="center"/>
    </xf>
    <xf numFmtId="3" fontId="7" fillId="0" borderId="31" xfId="0" applyNumberFormat="1" applyFont="1" applyFill="1" applyBorder="1" applyAlignment="1">
      <alignment horizontal="right" vertical="center"/>
    </xf>
    <xf numFmtId="183" fontId="12" fillId="0" borderId="0" xfId="0" applyNumberFormat="1" applyFont="1" applyFill="1" applyAlignment="1">
      <alignment horizontal="right" vertical="center"/>
    </xf>
    <xf numFmtId="186" fontId="3" fillId="0" borderId="9" xfId="0" applyNumberFormat="1" applyFont="1" applyFill="1" applyBorder="1" applyAlignment="1">
      <alignment horizontal="right" vertical="center"/>
    </xf>
    <xf numFmtId="186" fontId="1" fillId="0" borderId="20" xfId="0" applyNumberFormat="1" applyFont="1" applyFill="1" applyBorder="1" applyAlignment="1">
      <alignment horizontal="right" vertical="center"/>
    </xf>
    <xf numFmtId="183" fontId="12" fillId="0" borderId="0" xfId="0" applyNumberFormat="1" applyFont="1" applyFill="1" applyAlignment="1">
      <alignment horizontal="right" vertical="center" indent="1"/>
    </xf>
    <xf numFmtId="184" fontId="12" fillId="0" borderId="0" xfId="0" applyNumberFormat="1" applyFont="1" applyFill="1" applyAlignment="1">
      <alignment horizontal="right" vertical="center" indent="1"/>
    </xf>
    <xf numFmtId="177" fontId="12" fillId="0" borderId="0" xfId="0" applyNumberFormat="1" applyFont="1" applyFill="1" applyAlignment="1">
      <alignment vertical="center"/>
    </xf>
    <xf numFmtId="183" fontId="12" fillId="0" borderId="0" xfId="0" applyNumberFormat="1" applyFont="1" applyFill="1" applyAlignment="1">
      <alignment horizontal="right" indent="1"/>
    </xf>
    <xf numFmtId="184" fontId="12" fillId="0" borderId="0" xfId="0" applyNumberFormat="1" applyFont="1" applyFill="1" applyAlignment="1">
      <alignment horizontal="right" indent="1"/>
    </xf>
    <xf numFmtId="177" fontId="12" fillId="0" borderId="0" xfId="0" applyNumberFormat="1" applyFont="1" applyFill="1">
      <alignment vertical="center"/>
    </xf>
    <xf numFmtId="10" fontId="26" fillId="0" borderId="0" xfId="1" applyNumberFormat="1" applyFont="1" applyFill="1" applyBorder="1">
      <alignment vertical="center"/>
    </xf>
    <xf numFmtId="182" fontId="26" fillId="0" borderId="0" xfId="0" applyNumberFormat="1" applyFont="1" applyFill="1">
      <alignment vertical="center"/>
    </xf>
    <xf numFmtId="0" fontId="1" fillId="0" borderId="111" xfId="0" applyFont="1" applyFill="1" applyBorder="1" applyAlignment="1">
      <alignment horizontal="center" vertical="center"/>
    </xf>
    <xf numFmtId="176" fontId="3" fillId="0" borderId="112" xfId="0" applyNumberFormat="1" applyFont="1" applyFill="1" applyBorder="1" applyAlignment="1">
      <alignment vertical="center"/>
    </xf>
    <xf numFmtId="176" fontId="8" fillId="0" borderId="106" xfId="0" applyNumberFormat="1" applyFont="1" applyFill="1" applyBorder="1" applyAlignment="1">
      <alignment vertical="center"/>
    </xf>
    <xf numFmtId="176" fontId="1" fillId="0" borderId="106" xfId="0" applyNumberFormat="1" applyFont="1" applyFill="1" applyBorder="1" applyAlignment="1">
      <alignment vertical="center"/>
    </xf>
    <xf numFmtId="190" fontId="1" fillId="0" borderId="35" xfId="0" applyNumberFormat="1" applyFont="1" applyFill="1" applyBorder="1" applyAlignment="1">
      <alignment vertical="center"/>
    </xf>
    <xf numFmtId="176" fontId="1" fillId="0" borderId="113" xfId="0" applyNumberFormat="1" applyFont="1" applyFill="1" applyBorder="1" applyAlignment="1">
      <alignment vertical="center"/>
    </xf>
    <xf numFmtId="212" fontId="3" fillId="0" borderId="0" xfId="0" applyNumberFormat="1" applyFont="1" applyFill="1" applyBorder="1" applyAlignment="1">
      <alignment vertical="center"/>
    </xf>
    <xf numFmtId="212" fontId="3" fillId="0" borderId="35" xfId="0" applyNumberFormat="1" applyFont="1" applyFill="1" applyBorder="1" applyAlignment="1">
      <alignment vertical="center"/>
    </xf>
    <xf numFmtId="212" fontId="3" fillId="0" borderId="114" xfId="0" applyNumberFormat="1" applyFont="1" applyFill="1" applyBorder="1" applyAlignment="1">
      <alignment vertical="center"/>
    </xf>
    <xf numFmtId="212" fontId="1" fillId="0" borderId="0" xfId="0" applyNumberFormat="1" applyFont="1" applyFill="1" applyBorder="1" applyAlignment="1">
      <alignment vertical="center"/>
    </xf>
    <xf numFmtId="212" fontId="1" fillId="0" borderId="35" xfId="0" applyNumberFormat="1" applyFont="1" applyFill="1" applyBorder="1" applyAlignment="1">
      <alignment vertical="center"/>
    </xf>
    <xf numFmtId="212" fontId="1" fillId="0" borderId="20" xfId="0" applyNumberFormat="1" applyFont="1" applyFill="1" applyBorder="1" applyAlignment="1">
      <alignment vertical="center"/>
    </xf>
    <xf numFmtId="212" fontId="1" fillId="0" borderId="42" xfId="0" applyNumberFormat="1" applyFont="1" applyFill="1" applyBorder="1" applyAlignment="1">
      <alignment vertical="center"/>
    </xf>
    <xf numFmtId="49" fontId="1" fillId="0" borderId="31" xfId="4" applyNumberFormat="1" applyFont="1" applyFill="1" applyBorder="1" applyAlignment="1">
      <alignment horizontal="left" vertical="center"/>
    </xf>
    <xf numFmtId="179" fontId="3" fillId="0" borderId="2" xfId="4" applyNumberFormat="1" applyFont="1" applyFill="1" applyBorder="1" applyAlignment="1">
      <alignment vertical="center"/>
    </xf>
    <xf numFmtId="179" fontId="3" fillId="0" borderId="9" xfId="4" applyNumberFormat="1" applyFont="1" applyFill="1" applyBorder="1" applyAlignment="1">
      <alignment vertical="center"/>
    </xf>
    <xf numFmtId="179" fontId="1" fillId="0" borderId="116" xfId="0" applyNumberFormat="1" applyFont="1" applyFill="1" applyBorder="1" applyAlignment="1">
      <alignment vertical="center"/>
    </xf>
    <xf numFmtId="179" fontId="1" fillId="0" borderId="117" xfId="0" applyNumberFormat="1" applyFont="1" applyFill="1" applyBorder="1" applyAlignment="1">
      <alignment vertical="center"/>
    </xf>
    <xf numFmtId="179" fontId="1" fillId="0" borderId="114" xfId="0" applyNumberFormat="1" applyFont="1" applyFill="1" applyBorder="1" applyAlignment="1">
      <alignment vertical="center"/>
    </xf>
    <xf numFmtId="179" fontId="1" fillId="0" borderId="0" xfId="0" applyNumberFormat="1" applyFont="1" applyFill="1" applyBorder="1" applyAlignment="1">
      <alignment vertical="center"/>
    </xf>
    <xf numFmtId="179" fontId="1" fillId="0" borderId="115" xfId="0" applyNumberFormat="1" applyFont="1" applyFill="1" applyBorder="1" applyAlignment="1">
      <alignment vertical="center"/>
    </xf>
    <xf numFmtId="179" fontId="1" fillId="0" borderId="20" xfId="0" applyNumberFormat="1" applyFont="1" applyFill="1" applyBorder="1" applyAlignment="1">
      <alignment vertical="center"/>
    </xf>
    <xf numFmtId="0" fontId="7" fillId="0" borderId="0" xfId="0" applyFont="1" applyFill="1" applyAlignment="1">
      <alignment vertical="center"/>
    </xf>
    <xf numFmtId="178" fontId="7" fillId="0" borderId="0" xfId="0" applyNumberFormat="1" applyFont="1" applyFill="1" applyAlignment="1">
      <alignment vertical="center"/>
    </xf>
    <xf numFmtId="0" fontId="7" fillId="0" borderId="0" xfId="0" applyFont="1" applyFill="1">
      <alignment vertical="center"/>
    </xf>
    <xf numFmtId="0" fontId="7" fillId="0" borderId="19" xfId="0" applyFont="1" applyFill="1" applyBorder="1" applyAlignment="1">
      <alignment horizontal="center" vertical="center"/>
    </xf>
    <xf numFmtId="0" fontId="7" fillId="0" borderId="0" xfId="0" applyFont="1" applyFill="1" applyAlignment="1">
      <alignment horizontal="center" vertical="center"/>
    </xf>
    <xf numFmtId="0" fontId="7" fillId="0" borderId="0" xfId="4" applyFont="1" applyFill="1">
      <alignment vertical="center"/>
    </xf>
    <xf numFmtId="0" fontId="7" fillId="0" borderId="19" xfId="4" applyFont="1" applyFill="1" applyBorder="1">
      <alignment vertical="center"/>
    </xf>
    <xf numFmtId="0" fontId="7" fillId="0" borderId="26" xfId="4" applyFont="1" applyFill="1" applyBorder="1">
      <alignment vertical="center"/>
    </xf>
    <xf numFmtId="0" fontId="7" fillId="0" borderId="0" xfId="0" applyFont="1" applyFill="1" applyAlignment="1">
      <alignment horizontal="left" vertical="center" indent="1"/>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vertical="center" shrinkToFit="1"/>
    </xf>
    <xf numFmtId="0" fontId="7" fillId="0" borderId="0" xfId="0" applyFont="1" applyFill="1" applyAlignment="1">
      <alignment vertical="top"/>
    </xf>
    <xf numFmtId="0" fontId="1" fillId="0" borderId="0" xfId="0" applyFont="1" applyFill="1" applyAlignment="1">
      <alignment horizontal="left" vertical="center" shrinkToFit="1"/>
    </xf>
    <xf numFmtId="0" fontId="7" fillId="0" borderId="0" xfId="0" applyFont="1" applyFill="1" applyBorder="1" applyAlignment="1">
      <alignment vertical="center"/>
    </xf>
    <xf numFmtId="0" fontId="7" fillId="0" borderId="0" xfId="0" applyFont="1" applyFill="1" applyBorder="1">
      <alignment vertical="center"/>
    </xf>
    <xf numFmtId="0" fontId="1" fillId="0" borderId="67" xfId="0" applyFont="1" applyFill="1" applyBorder="1" applyAlignment="1">
      <alignment vertical="center"/>
    </xf>
    <xf numFmtId="0" fontId="1" fillId="0" borderId="0"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2" xfId="0" applyFont="1" applyFill="1" applyBorder="1" applyAlignment="1">
      <alignment horizontal="center" vertical="center"/>
    </xf>
    <xf numFmtId="0" fontId="7" fillId="0" borderId="19" xfId="0" applyFont="1" applyFill="1" applyBorder="1">
      <alignment vertical="center"/>
    </xf>
    <xf numFmtId="190" fontId="1" fillId="0" borderId="108" xfId="0" applyNumberFormat="1" applyFont="1" applyFill="1" applyBorder="1" applyAlignment="1">
      <alignment vertical="center" shrinkToFit="1"/>
    </xf>
    <xf numFmtId="190" fontId="1" fillId="0" borderId="22" xfId="0" applyNumberFormat="1" applyFont="1" applyFill="1" applyBorder="1" applyAlignment="1">
      <alignment vertical="center"/>
    </xf>
    <xf numFmtId="0" fontId="3" fillId="0" borderId="13" xfId="0" applyFont="1" applyFill="1" applyBorder="1" applyAlignment="1">
      <alignment vertical="center"/>
    </xf>
    <xf numFmtId="190" fontId="3" fillId="0" borderId="22" xfId="0" applyNumberFormat="1" applyFont="1" applyFill="1" applyBorder="1" applyAlignment="1">
      <alignment vertical="center"/>
    </xf>
    <xf numFmtId="190" fontId="1" fillId="0" borderId="22" xfId="0" applyNumberFormat="1" applyFont="1" applyFill="1" applyBorder="1" applyAlignment="1">
      <alignment horizontal="right" vertical="center"/>
    </xf>
    <xf numFmtId="211" fontId="1" fillId="0" borderId="0" xfId="0" applyNumberFormat="1" applyFont="1" applyFill="1" applyBorder="1" applyAlignment="1">
      <alignment horizontal="right" vertical="center"/>
    </xf>
    <xf numFmtId="205" fontId="1" fillId="0" borderId="35" xfId="0" applyNumberFormat="1" applyFont="1" applyFill="1" applyBorder="1" applyAlignment="1">
      <alignment horizontal="right" vertical="center"/>
    </xf>
    <xf numFmtId="0" fontId="7" fillId="0" borderId="36" xfId="0" applyFont="1" applyFill="1" applyBorder="1">
      <alignment vertical="center"/>
    </xf>
    <xf numFmtId="190" fontId="1" fillId="0" borderId="109" xfId="0" applyNumberFormat="1" applyFont="1" applyFill="1" applyBorder="1" applyAlignment="1">
      <alignment vertical="center"/>
    </xf>
    <xf numFmtId="189" fontId="1" fillId="0" borderId="20" xfId="0" applyNumberFormat="1" applyFont="1" applyFill="1" applyBorder="1" applyAlignment="1">
      <alignment horizontal="right" vertical="center"/>
    </xf>
    <xf numFmtId="0" fontId="7" fillId="0" borderId="31" xfId="0" applyFont="1" applyFill="1" applyBorder="1" applyAlignment="1">
      <alignment vertical="center"/>
    </xf>
    <xf numFmtId="0" fontId="1" fillId="0" borderId="102" xfId="0" applyFont="1" applyFill="1" applyBorder="1" applyAlignment="1">
      <alignment horizontal="center" vertical="center"/>
    </xf>
    <xf numFmtId="0" fontId="1" fillId="0" borderId="68" xfId="0" applyFont="1" applyFill="1" applyBorder="1" applyAlignment="1">
      <alignment vertical="center"/>
    </xf>
    <xf numFmtId="203" fontId="1" fillId="0" borderId="9" xfId="0" applyNumberFormat="1" applyFont="1" applyFill="1" applyBorder="1" applyAlignment="1">
      <alignment horizontal="right" vertical="center"/>
    </xf>
    <xf numFmtId="207" fontId="1" fillId="0" borderId="0" xfId="0" applyNumberFormat="1" applyFont="1" applyFill="1" applyBorder="1" applyAlignment="1">
      <alignment horizontal="right" vertical="center"/>
    </xf>
    <xf numFmtId="0" fontId="1" fillId="0" borderId="34"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35" xfId="0" applyFont="1" applyFill="1" applyBorder="1" applyAlignment="1">
      <alignment horizontal="right" vertical="center"/>
    </xf>
    <xf numFmtId="0" fontId="1" fillId="0" borderId="25" xfId="0" applyFont="1" applyFill="1" applyBorder="1" applyAlignment="1">
      <alignment horizontal="distributed" vertical="center"/>
    </xf>
    <xf numFmtId="0" fontId="3" fillId="0" borderId="0" xfId="0" applyFont="1" applyFill="1" applyBorder="1" applyAlignment="1">
      <alignment vertical="center"/>
    </xf>
    <xf numFmtId="0" fontId="3" fillId="0" borderId="25" xfId="0" applyFont="1" applyFill="1" applyBorder="1" applyAlignment="1">
      <alignment horizontal="distributed" vertical="center"/>
    </xf>
    <xf numFmtId="0" fontId="3" fillId="0" borderId="57" xfId="0" applyFont="1" applyFill="1" applyBorder="1" applyAlignment="1">
      <alignment vertical="center"/>
    </xf>
    <xf numFmtId="207" fontId="3" fillId="0" borderId="0" xfId="0" applyNumberFormat="1" applyFont="1" applyFill="1" applyBorder="1" applyAlignment="1">
      <alignment horizontal="right" vertical="center"/>
    </xf>
    <xf numFmtId="0" fontId="3" fillId="0" borderId="35" xfId="0" applyFont="1" applyFill="1" applyBorder="1" applyAlignment="1">
      <alignment horizontal="right" vertical="center"/>
    </xf>
    <xf numFmtId="203" fontId="1" fillId="0" borderId="43" xfId="0" applyNumberFormat="1" applyFont="1" applyFill="1" applyBorder="1" applyAlignment="1">
      <alignment horizontal="distributed" vertical="center"/>
    </xf>
    <xf numFmtId="0" fontId="1" fillId="0" borderId="58" xfId="0" applyFont="1" applyFill="1" applyBorder="1" applyAlignment="1">
      <alignment vertical="center"/>
    </xf>
    <xf numFmtId="207" fontId="1" fillId="0" borderId="20" xfId="0" applyNumberFormat="1" applyFont="1" applyFill="1" applyBorder="1" applyAlignment="1">
      <alignment horizontal="right" vertical="center"/>
    </xf>
    <xf numFmtId="0" fontId="1" fillId="0" borderId="42" xfId="0" applyFont="1" applyFill="1" applyBorder="1" applyAlignment="1">
      <alignment horizontal="right" vertical="center"/>
    </xf>
    <xf numFmtId="0" fontId="1" fillId="0" borderId="0" xfId="0" applyFont="1" applyFill="1" applyBorder="1" applyAlignment="1">
      <alignment horizontal="justify" vertical="center"/>
    </xf>
    <xf numFmtId="0" fontId="1" fillId="0" borderId="0" xfId="0" applyFont="1" applyFill="1" applyAlignment="1">
      <alignment horizontal="left" vertical="center" indent="1"/>
    </xf>
    <xf numFmtId="213" fontId="1" fillId="0" borderId="0" xfId="0" applyNumberFormat="1" applyFont="1" applyFill="1" applyBorder="1" applyAlignment="1">
      <alignment vertical="center"/>
    </xf>
    <xf numFmtId="10" fontId="27" fillId="0" borderId="0" xfId="0" applyNumberFormat="1" applyFont="1" applyAlignment="1">
      <alignment vertical="center"/>
    </xf>
    <xf numFmtId="0" fontId="27" fillId="0" borderId="0" xfId="0" applyFont="1" applyAlignment="1">
      <alignment vertical="center"/>
    </xf>
    <xf numFmtId="200" fontId="27" fillId="0" borderId="0" xfId="0" applyNumberFormat="1" applyFont="1" applyAlignment="1">
      <alignment vertical="center"/>
    </xf>
    <xf numFmtId="0" fontId="26" fillId="0" borderId="0" xfId="6" applyFont="1" applyBorder="1"/>
    <xf numFmtId="191" fontId="28" fillId="0" borderId="0" xfId="6" applyNumberFormat="1" applyFont="1" applyBorder="1" applyAlignment="1">
      <alignment horizontal="right" vertical="center" indent="1"/>
    </xf>
    <xf numFmtId="186" fontId="28" fillId="0" borderId="0" xfId="4" applyNumberFormat="1" applyFont="1" applyFill="1" applyBorder="1" applyAlignment="1">
      <alignment vertical="center"/>
    </xf>
    <xf numFmtId="0" fontId="30" fillId="0" borderId="0" xfId="6" applyFont="1" applyBorder="1"/>
    <xf numFmtId="38" fontId="30" fillId="0" borderId="0" xfId="3" applyFont="1" applyBorder="1"/>
    <xf numFmtId="0" fontId="27" fillId="0" borderId="0" xfId="6" applyFont="1" applyBorder="1" applyAlignment="1">
      <alignment vertical="center"/>
    </xf>
    <xf numFmtId="0" fontId="27" fillId="0" borderId="0" xfId="6" applyFont="1" applyBorder="1" applyAlignment="1">
      <alignment horizontal="center" vertical="center"/>
    </xf>
    <xf numFmtId="191" fontId="27" fillId="0" borderId="0" xfId="6" applyNumberFormat="1" applyFont="1" applyBorder="1" applyAlignment="1">
      <alignment vertical="center"/>
    </xf>
    <xf numFmtId="0" fontId="31" fillId="0" borderId="0" xfId="6" applyFont="1" applyBorder="1" applyAlignment="1">
      <alignment horizontal="center"/>
    </xf>
    <xf numFmtId="199" fontId="27" fillId="0" borderId="0" xfId="6" applyNumberFormat="1" applyFont="1" applyBorder="1" applyAlignment="1">
      <alignment horizontal="right" vertical="center"/>
    </xf>
    <xf numFmtId="0" fontId="29" fillId="0" borderId="0" xfId="6" applyFont="1" applyBorder="1"/>
    <xf numFmtId="0" fontId="27" fillId="0" borderId="0" xfId="6" applyFont="1" applyBorder="1" applyAlignment="1">
      <alignment horizontal="center"/>
    </xf>
    <xf numFmtId="49" fontId="27" fillId="0" borderId="0" xfId="6" applyNumberFormat="1" applyFont="1" applyBorder="1"/>
    <xf numFmtId="179" fontId="27" fillId="0" borderId="0" xfId="6" applyNumberFormat="1" applyFont="1" applyBorder="1" applyAlignment="1">
      <alignment horizontal="right"/>
    </xf>
    <xf numFmtId="180" fontId="27" fillId="0" borderId="0" xfId="6" applyNumberFormat="1" applyFont="1" applyBorder="1" applyAlignment="1">
      <alignment horizontal="center"/>
    </xf>
    <xf numFmtId="0" fontId="27" fillId="0" borderId="0" xfId="6" applyFont="1" applyBorder="1"/>
    <xf numFmtId="0" fontId="26" fillId="0" borderId="0" xfId="6" applyFont="1" applyBorder="1" applyAlignment="1">
      <alignment horizontal="center"/>
    </xf>
    <xf numFmtId="0" fontId="27" fillId="0" borderId="0" xfId="6" applyNumberFormat="1" applyFont="1" applyBorder="1" applyAlignment="1">
      <alignment horizontal="center"/>
    </xf>
    <xf numFmtId="176" fontId="27" fillId="0" borderId="0" xfId="6" applyNumberFormat="1" applyFont="1" applyBorder="1" applyAlignment="1">
      <alignment vertical="center"/>
    </xf>
    <xf numFmtId="180" fontId="27" fillId="0" borderId="0" xfId="6" applyNumberFormat="1" applyFont="1" applyBorder="1" applyAlignment="1">
      <alignment horizontal="center" vertical="center"/>
    </xf>
    <xf numFmtId="176" fontId="27" fillId="0" borderId="0" xfId="6" applyNumberFormat="1" applyFont="1" applyBorder="1"/>
    <xf numFmtId="179" fontId="27" fillId="0" borderId="0" xfId="6" applyNumberFormat="1" applyFont="1" applyBorder="1" applyAlignment="1">
      <alignment horizontal="right" vertical="center"/>
    </xf>
    <xf numFmtId="176" fontId="26" fillId="0" borderId="0" xfId="6" applyNumberFormat="1" applyFont="1" applyBorder="1"/>
    <xf numFmtId="0" fontId="27" fillId="0" borderId="0" xfId="6" applyFont="1" applyFill="1" applyBorder="1"/>
    <xf numFmtId="38" fontId="26" fillId="0" borderId="0" xfId="6" applyNumberFormat="1" applyFont="1" applyBorder="1"/>
    <xf numFmtId="38" fontId="27" fillId="0" borderId="0" xfId="6" applyNumberFormat="1" applyFont="1" applyBorder="1"/>
    <xf numFmtId="194" fontId="27" fillId="0" borderId="0" xfId="4" applyNumberFormat="1" applyFont="1" applyFill="1" applyBorder="1" applyAlignment="1">
      <alignment vertical="center"/>
    </xf>
    <xf numFmtId="0" fontId="30" fillId="0" borderId="0" xfId="6" applyFont="1" applyBorder="1" applyAlignment="1">
      <alignment horizontal="center"/>
    </xf>
    <xf numFmtId="185" fontId="27" fillId="0" borderId="0" xfId="6" applyNumberFormat="1" applyFont="1" applyBorder="1"/>
    <xf numFmtId="176" fontId="27" fillId="0" borderId="0" xfId="0" applyNumberFormat="1" applyFont="1" applyFill="1" applyBorder="1" applyAlignment="1">
      <alignment horizontal="right" vertical="center"/>
    </xf>
    <xf numFmtId="201" fontId="27" fillId="0" borderId="0" xfId="0" applyNumberFormat="1" applyFont="1" applyBorder="1" applyAlignment="1">
      <alignment horizontal="right" vertical="center"/>
    </xf>
    <xf numFmtId="185" fontId="27" fillId="0" borderId="0" xfId="0" applyNumberFormat="1" applyFont="1" applyFill="1" applyBorder="1" applyAlignment="1">
      <alignment horizontal="right" vertical="center"/>
    </xf>
    <xf numFmtId="207" fontId="27" fillId="0" borderId="0" xfId="6" applyNumberFormat="1" applyFont="1" applyBorder="1" applyAlignment="1">
      <alignment horizontal="left"/>
    </xf>
    <xf numFmtId="210" fontId="26" fillId="0" borderId="0" xfId="6" applyNumberFormat="1" applyFont="1" applyBorder="1"/>
    <xf numFmtId="0" fontId="26" fillId="0" borderId="0" xfId="0" applyFont="1" applyBorder="1">
      <alignment vertical="center"/>
    </xf>
    <xf numFmtId="0" fontId="26" fillId="0" borderId="0" xfId="6" applyFont="1" applyBorder="1" applyAlignment="1">
      <alignment vertical="center"/>
    </xf>
    <xf numFmtId="0" fontId="27" fillId="0" borderId="0" xfId="6" applyFont="1" applyBorder="1" applyAlignment="1">
      <alignment horizontal="left" vertical="center"/>
    </xf>
    <xf numFmtId="207" fontId="30" fillId="0" borderId="0" xfId="6" applyNumberFormat="1" applyFont="1" applyBorder="1" applyAlignment="1">
      <alignment horizontal="left"/>
    </xf>
    <xf numFmtId="3" fontId="26" fillId="0" borderId="0" xfId="0" applyNumberFormat="1" applyFont="1" applyBorder="1">
      <alignment vertical="center"/>
    </xf>
    <xf numFmtId="0" fontId="1" fillId="0" borderId="74"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83"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178" fontId="1" fillId="0" borderId="95" xfId="5" applyNumberFormat="1" applyFont="1" applyFill="1" applyBorder="1" applyAlignment="1">
      <alignment horizontal="right" vertical="center"/>
    </xf>
    <xf numFmtId="178" fontId="1" fillId="0" borderId="96" xfId="5" applyNumberFormat="1" applyFont="1" applyFill="1" applyBorder="1" applyAlignment="1">
      <alignment horizontal="right" vertical="center"/>
    </xf>
    <xf numFmtId="176" fontId="1" fillId="0" borderId="95"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0" fontId="1" fillId="0" borderId="84"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82" xfId="5" applyFont="1" applyFill="1" applyBorder="1" applyAlignment="1">
      <alignment horizontal="center" vertical="center"/>
    </xf>
    <xf numFmtId="179" fontId="1" fillId="0" borderId="0" xfId="5" applyNumberFormat="1" applyFont="1" applyFill="1" applyBorder="1" applyAlignment="1">
      <alignment horizontal="right" vertical="center"/>
    </xf>
    <xf numFmtId="176" fontId="1" fillId="0" borderId="0" xfId="5" applyNumberFormat="1" applyFont="1" applyFill="1" applyBorder="1" applyAlignment="1">
      <alignment horizontal="right"/>
    </xf>
    <xf numFmtId="179" fontId="1" fillId="0" borderId="20" xfId="5" applyNumberFormat="1" applyFont="1" applyFill="1" applyBorder="1" applyAlignment="1">
      <alignment horizontal="right" vertical="center"/>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179" fontId="1" fillId="0" borderId="20" xfId="5" applyNumberFormat="1" applyFont="1" applyFill="1" applyBorder="1" applyAlignment="1">
      <alignment horizontal="right"/>
    </xf>
    <xf numFmtId="179" fontId="1" fillId="0" borderId="0" xfId="5" applyNumberFormat="1" applyFont="1" applyFill="1" applyBorder="1" applyAlignment="1">
      <alignment horizontal="right"/>
    </xf>
    <xf numFmtId="176" fontId="1" fillId="0" borderId="95" xfId="5" applyNumberFormat="1" applyFont="1" applyFill="1" applyBorder="1" applyAlignment="1">
      <alignment horizontal="right"/>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0"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3" fillId="0" borderId="33"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68" xfId="0" applyFont="1" applyFill="1" applyBorder="1" applyAlignment="1">
      <alignment horizontal="distributed" vertical="center"/>
    </xf>
    <xf numFmtId="0" fontId="1" fillId="0" borderId="20" xfId="0" applyFont="1" applyFill="1" applyBorder="1" applyAlignment="1">
      <alignment horizontal="distributed" vertical="center"/>
    </xf>
    <xf numFmtId="0" fontId="1" fillId="0" borderId="8" xfId="0" applyFont="1" applyFill="1" applyBorder="1" applyAlignment="1">
      <alignment horizontal="center" vertical="center"/>
    </xf>
    <xf numFmtId="1" fontId="1" fillId="0" borderId="33" xfId="0" applyNumberFormat="1" applyFont="1" applyFill="1" applyBorder="1" applyAlignment="1">
      <alignment vertical="center"/>
    </xf>
    <xf numFmtId="1" fontId="1" fillId="0" borderId="11" xfId="0" applyNumberFormat="1" applyFont="1" applyFill="1" applyBorder="1" applyAlignment="1">
      <alignment vertical="center"/>
    </xf>
    <xf numFmtId="186" fontId="1" fillId="0" borderId="2" xfId="0" applyNumberFormat="1" applyFont="1" applyFill="1" applyBorder="1" applyAlignment="1">
      <alignment horizontal="center" vertical="center"/>
    </xf>
    <xf numFmtId="186" fontId="1" fillId="0" borderId="9" xfId="0" applyNumberFormat="1" applyFont="1" applyFill="1" applyBorder="1" applyAlignment="1">
      <alignment horizontal="center" vertical="center"/>
    </xf>
    <xf numFmtId="0" fontId="1" fillId="0" borderId="0" xfId="0" applyFont="1" applyFill="1" applyBorder="1" applyAlignment="1"/>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1" xfId="0" applyFont="1" applyFill="1" applyBorder="1" applyAlignment="1">
      <alignment horizontal="left" vertical="center"/>
    </xf>
    <xf numFmtId="212" fontId="1" fillId="0" borderId="114" xfId="0" applyNumberFormat="1" applyFont="1" applyFill="1" applyBorder="1" applyAlignment="1">
      <alignment vertical="center"/>
    </xf>
    <xf numFmtId="186" fontId="1" fillId="0" borderId="5" xfId="4" applyNumberFormat="1" applyFont="1" applyFill="1" applyBorder="1" applyAlignment="1">
      <alignment horizontal="right" vertical="center"/>
    </xf>
    <xf numFmtId="0" fontId="12" fillId="0" borderId="0" xfId="0" applyFont="1">
      <alignment vertical="center"/>
    </xf>
    <xf numFmtId="212" fontId="3" fillId="0" borderId="114" xfId="0" applyNumberFormat="1" applyFont="1" applyFill="1" applyBorder="1" applyAlignment="1">
      <alignment horizontal="center" vertical="center"/>
    </xf>
    <xf numFmtId="49" fontId="1" fillId="0" borderId="19" xfId="4" applyNumberFormat="1" applyFont="1" applyFill="1" applyBorder="1" applyAlignment="1">
      <alignment horizontal="right" vertical="center"/>
    </xf>
    <xf numFmtId="49" fontId="1" fillId="0" borderId="13" xfId="4" applyNumberFormat="1" applyFont="1" applyFill="1" applyBorder="1" applyAlignment="1">
      <alignment horizontal="right" vertical="center"/>
    </xf>
    <xf numFmtId="49" fontId="1" fillId="0" borderId="57" xfId="4" applyNumberFormat="1" applyFont="1" applyFill="1" applyBorder="1" applyAlignment="1">
      <alignment horizontal="right" vertical="center"/>
    </xf>
    <xf numFmtId="212" fontId="1" fillId="0" borderId="115" xfId="0" applyNumberFormat="1" applyFont="1" applyFill="1" applyBorder="1" applyAlignment="1">
      <alignment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186" fontId="1" fillId="0" borderId="5" xfId="4" applyNumberFormat="1" applyFont="1" applyFill="1" applyBorder="1" applyAlignment="1">
      <alignment horizontal="center" vertical="center"/>
    </xf>
    <xf numFmtId="186" fontId="1" fillId="0" borderId="0" xfId="4"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0" fontId="11" fillId="0" borderId="119" xfId="0" applyFont="1" applyFill="1" applyBorder="1" applyAlignment="1">
      <alignment horizontal="distributed" vertical="center" wrapText="1"/>
    </xf>
    <xf numFmtId="198" fontId="3" fillId="0" borderId="85" xfId="0" applyNumberFormat="1" applyFont="1" applyFill="1" applyBorder="1" applyAlignment="1">
      <alignment horizontal="center" vertical="center"/>
    </xf>
    <xf numFmtId="198" fontId="1" fillId="0" borderId="120" xfId="0" applyNumberFormat="1" applyFont="1" applyFill="1" applyBorder="1" applyAlignment="1">
      <alignment horizontal="center" vertical="center"/>
    </xf>
    <xf numFmtId="198" fontId="1" fillId="0" borderId="119"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119" xfId="0" applyFont="1" applyFill="1" applyBorder="1" applyAlignment="1">
      <alignment horizontal="distributed" vertical="center" wrapText="1"/>
    </xf>
    <xf numFmtId="0" fontId="3" fillId="0" borderId="86" xfId="0" applyFont="1" applyFill="1" applyBorder="1" applyAlignment="1">
      <alignment horizontal="center" vertical="center"/>
    </xf>
    <xf numFmtId="0" fontId="3" fillId="0" borderId="85" xfId="0" applyFont="1" applyFill="1" applyBorder="1" applyAlignment="1">
      <alignment horizontal="center" vertical="center"/>
    </xf>
    <xf numFmtId="0" fontId="1" fillId="0" borderId="20" xfId="0" applyFont="1" applyFill="1" applyBorder="1" applyAlignment="1">
      <alignment horizontal="left" vertical="center"/>
    </xf>
    <xf numFmtId="0" fontId="3" fillId="0" borderId="5" xfId="4" applyFont="1" applyFill="1" applyBorder="1" applyAlignment="1">
      <alignment horizontal="distributed" vertical="center"/>
    </xf>
    <xf numFmtId="0" fontId="3" fillId="0" borderId="0" xfId="4" applyFont="1" applyFill="1" applyBorder="1" applyAlignment="1">
      <alignment horizontal="distributed" vertical="center"/>
    </xf>
    <xf numFmtId="0" fontId="3" fillId="0" borderId="33" xfId="4" applyFont="1" applyFill="1" applyBorder="1" applyAlignment="1">
      <alignment horizontal="distributed" vertical="center"/>
    </xf>
    <xf numFmtId="0" fontId="3" fillId="0" borderId="9" xfId="4" applyFont="1" applyFill="1" applyBorder="1" applyAlignment="1">
      <alignment horizontal="distributed" vertical="center"/>
    </xf>
    <xf numFmtId="0" fontId="10" fillId="0" borderId="19" xfId="4" applyFont="1" applyFill="1" applyBorder="1" applyAlignment="1">
      <alignment horizontal="distributed" vertical="center"/>
    </xf>
    <xf numFmtId="0" fontId="10"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196" fontId="1" fillId="0" borderId="118" xfId="0" applyNumberFormat="1" applyFont="1" applyFill="1" applyBorder="1" applyAlignment="1">
      <alignment horizontal="center" vertical="center"/>
    </xf>
    <xf numFmtId="0" fontId="1" fillId="0" borderId="118" xfId="0" applyFont="1" applyFill="1" applyBorder="1" applyAlignment="1">
      <alignment horizontal="distributed" vertical="center" wrapText="1"/>
    </xf>
    <xf numFmtId="49" fontId="1" fillId="0" borderId="33" xfId="4" applyNumberFormat="1" applyFont="1" applyFill="1" applyBorder="1" applyAlignment="1">
      <alignment horizontal="center" vertical="center"/>
    </xf>
    <xf numFmtId="0" fontId="1" fillId="0" borderId="20" xfId="0"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9" xfId="0" applyFont="1" applyFill="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189" fontId="1" fillId="0" borderId="0" xfId="0" applyNumberFormat="1" applyFont="1" applyFill="1" applyBorder="1" applyAlignment="1">
      <alignment horizontal="right" vertical="center"/>
    </xf>
    <xf numFmtId="0" fontId="1" fillId="0" borderId="20" xfId="0" applyFont="1" applyBorder="1" applyAlignment="1">
      <alignment horizontal="distributed" vertical="center"/>
    </xf>
    <xf numFmtId="0" fontId="3" fillId="0" borderId="0" xfId="0" applyFont="1" applyBorder="1" applyAlignment="1">
      <alignment horizontal="distributed" vertical="center"/>
    </xf>
    <xf numFmtId="0" fontId="1" fillId="0" borderId="0" xfId="0" applyFont="1" applyAlignment="1">
      <alignment horizontal="left" vertical="center" textRotation="255"/>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3"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7" fillId="0" borderId="31" xfId="0" applyFont="1" applyBorder="1" applyAlignment="1">
      <alignment horizontal="center"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104" xfId="0" applyFont="1" applyBorder="1" applyAlignment="1">
      <alignment horizontal="center" vertical="center"/>
    </xf>
    <xf numFmtId="0" fontId="1" fillId="0" borderId="48" xfId="0" applyFont="1" applyBorder="1" applyAlignment="1">
      <alignment horizontal="center" vertical="center"/>
    </xf>
    <xf numFmtId="0" fontId="1" fillId="0" borderId="87" xfId="0" applyFont="1" applyBorder="1" applyAlignment="1">
      <alignment horizontal="center" vertical="center"/>
    </xf>
    <xf numFmtId="200" fontId="1" fillId="0" borderId="21" xfId="0" applyNumberFormat="1" applyFont="1" applyFill="1" applyBorder="1" applyAlignment="1">
      <alignment vertical="center"/>
    </xf>
    <xf numFmtId="0" fontId="6" fillId="0" borderId="0" xfId="0" applyFont="1" applyBorder="1" applyAlignment="1">
      <alignment horizontal="distributed" vertical="center"/>
    </xf>
    <xf numFmtId="0" fontId="1" fillId="0" borderId="9" xfId="0" applyFont="1" applyBorder="1" applyAlignment="1">
      <alignment horizontal="distributed" vertical="center"/>
    </xf>
    <xf numFmtId="189" fontId="1" fillId="0" borderId="9"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1" fillId="0" borderId="16" xfId="0" applyFont="1" applyBorder="1" applyAlignment="1">
      <alignment horizontal="center"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60" xfId="0" applyFont="1" applyBorder="1" applyAlignment="1">
      <alignment horizontal="center" vertical="center"/>
    </xf>
    <xf numFmtId="0" fontId="1" fillId="0" borderId="47" xfId="0" applyFont="1" applyBorder="1" applyAlignment="1">
      <alignment horizontal="center" vertical="center"/>
    </xf>
    <xf numFmtId="176" fontId="1" fillId="0" borderId="9"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87"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19" xfId="0" applyFont="1" applyBorder="1" applyAlignment="1">
      <alignment horizontal="distributed" vertical="center"/>
    </xf>
    <xf numFmtId="0" fontId="3" fillId="0" borderId="19" xfId="0" applyFont="1" applyBorder="1" applyAlignment="1">
      <alignment horizontal="distributed"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xf>
    <xf numFmtId="0" fontId="1" fillId="0" borderId="6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9" xfId="0" applyFont="1" applyFill="1" applyBorder="1" applyAlignment="1">
      <alignment horizontal="distributed" vertical="center"/>
    </xf>
    <xf numFmtId="0" fontId="3" fillId="0" borderId="0" xfId="0" applyFont="1" applyFill="1" applyBorder="1" applyAlignment="1">
      <alignment horizontal="distributed"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textRotation="255"/>
    </xf>
    <xf numFmtId="0" fontId="1" fillId="0" borderId="0" xfId="0" applyFont="1" applyFill="1" applyBorder="1" applyAlignment="1">
      <alignment horizontal="left" vertical="center" indent="1"/>
    </xf>
    <xf numFmtId="0" fontId="1" fillId="0" borderId="9" xfId="0" applyFont="1" applyFill="1" applyBorder="1" applyAlignment="1">
      <alignment horizontal="distributed" vertical="center"/>
    </xf>
    <xf numFmtId="0" fontId="6" fillId="0" borderId="0" xfId="0" applyFont="1" applyFill="1" applyBorder="1" applyAlignment="1">
      <alignment horizontal="distributed" vertical="center"/>
    </xf>
    <xf numFmtId="0" fontId="7" fillId="0" borderId="31" xfId="0" applyFont="1" applyFill="1" applyBorder="1" applyAlignment="1">
      <alignment horizontal="center" vertical="center"/>
    </xf>
    <xf numFmtId="0" fontId="3" fillId="0" borderId="19" xfId="0" applyFont="1" applyFill="1" applyBorder="1" applyAlignment="1">
      <alignment horizontal="distributed" vertical="center"/>
    </xf>
    <xf numFmtId="0" fontId="1" fillId="0" borderId="0" xfId="0" applyFont="1" applyFill="1" applyAlignment="1">
      <alignment horizontal="left" vertical="center"/>
    </xf>
    <xf numFmtId="0" fontId="1" fillId="0" borderId="104"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31" xfId="0" applyFont="1" applyFill="1" applyBorder="1" applyAlignment="1">
      <alignment horizontal="left" vertical="center" shrinkToFi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xf>
    <xf numFmtId="0" fontId="1" fillId="0" borderId="89"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left" vertical="top" wrapText="1"/>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0" fontId="11" fillId="0" borderId="7" xfId="0" applyFont="1" applyBorder="1" applyAlignment="1">
      <alignment horizontal="center" vertical="center" shrinkToFit="1"/>
    </xf>
    <xf numFmtId="205" fontId="1"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76" fontId="3" fillId="0" borderId="0" xfId="0" applyNumberFormat="1" applyFont="1" applyBorder="1" applyAlignment="1">
      <alignment vertical="center"/>
    </xf>
    <xf numFmtId="0" fontId="1" fillId="0" borderId="13" xfId="0" applyFont="1" applyBorder="1" applyAlignment="1">
      <alignment horizontal="center" vertical="center"/>
    </xf>
    <xf numFmtId="0" fontId="11" fillId="0" borderId="2" xfId="0" applyFont="1" applyBorder="1" applyAlignment="1">
      <alignment horizontal="center" vertical="center" shrinkToFit="1"/>
    </xf>
    <xf numFmtId="0" fontId="11" fillId="0" borderId="11" xfId="0" applyFont="1" applyBorder="1" applyAlignment="1">
      <alignment horizontal="center" vertical="center" shrinkToFit="1"/>
    </xf>
    <xf numFmtId="205" fontId="1" fillId="0" borderId="0" xfId="0" applyNumberFormat="1" applyFont="1" applyBorder="1" applyAlignment="1">
      <alignment vertical="center"/>
    </xf>
    <xf numFmtId="0" fontId="1" fillId="0" borderId="0" xfId="0" applyFont="1" applyBorder="1" applyAlignment="1">
      <alignment horizontal="center" vertical="top"/>
    </xf>
    <xf numFmtId="0" fontId="1" fillId="0" borderId="0" xfId="0" applyFont="1" applyBorder="1" applyAlignment="1">
      <alignment horizontal="right"/>
    </xf>
    <xf numFmtId="205" fontId="1" fillId="0" borderId="2" xfId="0" applyNumberFormat="1" applyFont="1" applyBorder="1" applyAlignment="1">
      <alignment vertical="center"/>
    </xf>
    <xf numFmtId="205" fontId="1" fillId="0" borderId="9" xfId="0" applyNumberFormat="1" applyFont="1" applyBorder="1" applyAlignment="1">
      <alignment vertical="center"/>
    </xf>
    <xf numFmtId="179" fontId="3" fillId="0" borderId="43" xfId="0" applyNumberFormat="1" applyFont="1" applyBorder="1" applyAlignment="1">
      <alignment horizontal="center" vertical="center"/>
    </xf>
    <xf numFmtId="179" fontId="3" fillId="0" borderId="89"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179" fontId="1" fillId="0" borderId="5" xfId="0" applyNumberFormat="1" applyFont="1" applyBorder="1" applyAlignment="1">
      <alignment horizontal="right" vertical="center"/>
    </xf>
    <xf numFmtId="179" fontId="1" fillId="0" borderId="0" xfId="0" applyNumberFormat="1" applyFont="1" applyBorder="1" applyAlignment="1">
      <alignment horizontal="right"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33" xfId="0" applyNumberFormat="1" applyFont="1" applyBorder="1" applyAlignment="1">
      <alignment horizontal="center" vertical="center"/>
    </xf>
    <xf numFmtId="179" fontId="1" fillId="0" borderId="11" xfId="0" applyNumberFormat="1" applyFont="1" applyBorder="1" applyAlignment="1">
      <alignment horizontal="center" vertical="center"/>
    </xf>
    <xf numFmtId="179" fontId="1" fillId="0" borderId="2" xfId="0" applyNumberFormat="1" applyFont="1" applyBorder="1" applyAlignment="1">
      <alignment horizontal="right" vertical="center"/>
    </xf>
    <xf numFmtId="179" fontId="1" fillId="0" borderId="9" xfId="0" applyNumberFormat="1" applyFont="1" applyBorder="1" applyAlignment="1">
      <alignment horizontal="right" vertical="center"/>
    </xf>
    <xf numFmtId="0" fontId="1" fillId="0" borderId="49" xfId="0" applyFont="1" applyBorder="1" applyAlignment="1">
      <alignment horizontal="center"/>
    </xf>
    <xf numFmtId="0" fontId="1" fillId="0" borderId="32" xfId="0" applyFont="1" applyBorder="1" applyAlignment="1">
      <alignment horizontal="center"/>
    </xf>
    <xf numFmtId="205" fontId="1" fillId="0" borderId="9" xfId="0" applyNumberFormat="1" applyFont="1" applyBorder="1" applyAlignment="1">
      <alignment horizontal="right"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205" fontId="3" fillId="0" borderId="20" xfId="0" applyNumberFormat="1" applyFont="1" applyBorder="1" applyAlignment="1">
      <alignment horizontal="right" vertical="center"/>
    </xf>
    <xf numFmtId="205" fontId="1" fillId="0" borderId="0" xfId="0" applyNumberFormat="1" applyFont="1" applyFill="1" applyBorder="1" applyAlignment="1">
      <alignment horizontal="right" vertical="center"/>
    </xf>
    <xf numFmtId="205" fontId="1" fillId="0" borderId="0"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205" fontId="1" fillId="0" borderId="34" xfId="0" applyNumberFormat="1" applyFont="1" applyBorder="1" applyAlignment="1">
      <alignment horizontal="right" vertical="center"/>
    </xf>
    <xf numFmtId="0" fontId="1" fillId="0" borderId="3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205" fontId="1" fillId="0" borderId="2" xfId="0" applyNumberFormat="1" applyFont="1" applyBorder="1" applyAlignment="1">
      <alignment horizontal="right" vertical="center"/>
    </xf>
    <xf numFmtId="205" fontId="1" fillId="0" borderId="5" xfId="0" applyNumberFormat="1" applyFont="1" applyBorder="1" applyAlignment="1">
      <alignment horizontal="right" vertical="center"/>
    </xf>
    <xf numFmtId="0" fontId="1" fillId="0" borderId="43" xfId="0" applyFont="1" applyBorder="1" applyAlignment="1">
      <alignment horizontal="distributed" vertical="center"/>
    </xf>
    <xf numFmtId="0" fontId="1" fillId="0" borderId="89"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0"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0" xfId="0" applyFont="1" applyBorder="1" applyAlignment="1">
      <alignment vertical="top" wrapText="1" shrinkToFit="1"/>
    </xf>
    <xf numFmtId="176" fontId="1" fillId="0" borderId="9" xfId="0" applyNumberFormat="1" applyFont="1" applyBorder="1" applyAlignment="1">
      <alignment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177" fontId="1" fillId="0" borderId="9" xfId="0" applyNumberFormat="1" applyFont="1" applyBorder="1" applyAlignment="1">
      <alignment vertical="center"/>
    </xf>
    <xf numFmtId="177" fontId="3" fillId="0" borderId="0" xfId="0" applyNumberFormat="1" applyFont="1" applyBorder="1" applyAlignment="1">
      <alignment vertical="center"/>
    </xf>
    <xf numFmtId="177" fontId="1" fillId="0" borderId="37" xfId="0" applyNumberFormat="1" applyFont="1" applyFill="1" applyBorder="1" applyAlignment="1">
      <alignment vertical="center"/>
    </xf>
    <xf numFmtId="177" fontId="1" fillId="0" borderId="42" xfId="0" applyNumberFormat="1" applyFont="1" applyFill="1" applyBorder="1" applyAlignment="1">
      <alignment vertical="center"/>
    </xf>
    <xf numFmtId="177" fontId="1" fillId="0" borderId="13" xfId="0" applyNumberFormat="1" applyFont="1" applyFill="1" applyBorder="1" applyAlignment="1">
      <alignment vertical="center"/>
    </xf>
    <xf numFmtId="177" fontId="1" fillId="0" borderId="35"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13" xfId="0" applyNumberFormat="1" applyFont="1" applyFill="1" applyBorder="1" applyAlignment="1">
      <alignment vertical="center"/>
    </xf>
    <xf numFmtId="177" fontId="3" fillId="0" borderId="35" xfId="0" applyNumberFormat="1" applyFont="1" applyFill="1" applyBorder="1" applyAlignment="1">
      <alignment vertical="center"/>
    </xf>
    <xf numFmtId="177" fontId="1" fillId="0" borderId="9" xfId="0" applyNumberFormat="1" applyFont="1" applyFill="1" applyBorder="1" applyAlignment="1">
      <alignment vertical="center"/>
    </xf>
    <xf numFmtId="0" fontId="23" fillId="0" borderId="31" xfId="0" applyFont="1" applyBorder="1" applyAlignment="1">
      <alignment horizontal="left" vertical="center"/>
    </xf>
    <xf numFmtId="0" fontId="1" fillId="0" borderId="5" xfId="0" applyFont="1" applyBorder="1" applyAlignment="1">
      <alignment horizontal="distributed" vertical="center"/>
    </xf>
    <xf numFmtId="0" fontId="3" fillId="0" borderId="5" xfId="0" applyFont="1" applyBorder="1" applyAlignment="1">
      <alignment horizontal="distributed"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23"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20" xfId="0" applyNumberFormat="1" applyFont="1" applyBorder="1" applyAlignment="1">
      <alignment horizontal="right" vertical="center"/>
    </xf>
    <xf numFmtId="0" fontId="27" fillId="0" borderId="0" xfId="6" applyFont="1" applyBorder="1" applyAlignment="1">
      <alignment horizontal="center" vertical="center"/>
    </xf>
    <xf numFmtId="0" fontId="1" fillId="0" borderId="0" xfId="6" applyFont="1" applyAlignment="1">
      <alignment horizontal="center" vertical="center"/>
    </xf>
  </cellXfs>
  <cellStyles count="7">
    <cellStyle name="パーセント" xfId="1" builtinId="5"/>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dPt>
          <c:dLbls>
            <c:dLbl>
              <c:idx val="8"/>
              <c:layout>
                <c:manualLayout>
                  <c:x val="0"/>
                  <c:y val="3.7712644005260962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2831581135642197E-16"/>
                  <c:y val="-2.87081339712918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平成20年</c:v>
                </c:pt>
                <c:pt idx="1">
                  <c:v>21</c:v>
                </c:pt>
                <c:pt idx="2">
                  <c:v>22</c:v>
                </c:pt>
                <c:pt idx="3">
                  <c:v>23</c:v>
                </c:pt>
                <c:pt idx="4">
                  <c:v>24</c:v>
                </c:pt>
                <c:pt idx="5">
                  <c:v>25</c:v>
                </c:pt>
                <c:pt idx="6">
                  <c:v>26</c:v>
                </c:pt>
                <c:pt idx="7">
                  <c:v>27</c:v>
                </c:pt>
                <c:pt idx="8">
                  <c:v>28</c:v>
                </c:pt>
                <c:pt idx="9">
                  <c:v>29</c:v>
                </c:pt>
              </c:strCache>
            </c:strRef>
          </c:cat>
          <c:val>
            <c:numRef>
              <c:f>グラフ!$I$5:$I$14</c:f>
              <c:numCache>
                <c:formatCode>#,##0_);[Red]\(#,##0\)</c:formatCode>
                <c:ptCount val="10"/>
                <c:pt idx="0">
                  <c:v>53971</c:v>
                </c:pt>
                <c:pt idx="1">
                  <c:v>54426</c:v>
                </c:pt>
                <c:pt idx="2">
                  <c:v>54612</c:v>
                </c:pt>
                <c:pt idx="3">
                  <c:v>54927</c:v>
                </c:pt>
                <c:pt idx="4">
                  <c:v>55780</c:v>
                </c:pt>
                <c:pt idx="5">
                  <c:v>55949</c:v>
                </c:pt>
                <c:pt idx="6">
                  <c:v>55850</c:v>
                </c:pt>
                <c:pt idx="7">
                  <c:v>55729</c:v>
                </c:pt>
                <c:pt idx="8">
                  <c:v>55787</c:v>
                </c:pt>
                <c:pt idx="9">
                  <c:v>55782</c:v>
                </c:pt>
              </c:numCache>
            </c:numRef>
          </c:val>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平成20年</c:v>
                </c:pt>
                <c:pt idx="1">
                  <c:v>21</c:v>
                </c:pt>
                <c:pt idx="2">
                  <c:v>22</c:v>
                </c:pt>
                <c:pt idx="3">
                  <c:v>23</c:v>
                </c:pt>
                <c:pt idx="4">
                  <c:v>24</c:v>
                </c:pt>
                <c:pt idx="5">
                  <c:v>25</c:v>
                </c:pt>
                <c:pt idx="6">
                  <c:v>26</c:v>
                </c:pt>
                <c:pt idx="7">
                  <c:v>27</c:v>
                </c:pt>
                <c:pt idx="8">
                  <c:v>28</c:v>
                </c:pt>
                <c:pt idx="9">
                  <c:v>29</c:v>
                </c:pt>
              </c:strCache>
            </c:strRef>
          </c:cat>
          <c:val>
            <c:numRef>
              <c:f>グラフ!$J$5:$J$14</c:f>
              <c:numCache>
                <c:formatCode>#,##0_);[Red]\(#,##0\)</c:formatCode>
                <c:ptCount val="10"/>
                <c:pt idx="0">
                  <c:v>56135</c:v>
                </c:pt>
                <c:pt idx="1">
                  <c:v>56563</c:v>
                </c:pt>
                <c:pt idx="2">
                  <c:v>56983</c:v>
                </c:pt>
                <c:pt idx="3">
                  <c:v>57350</c:v>
                </c:pt>
                <c:pt idx="4">
                  <c:v>57965</c:v>
                </c:pt>
                <c:pt idx="5">
                  <c:v>58268</c:v>
                </c:pt>
                <c:pt idx="6">
                  <c:v>58395</c:v>
                </c:pt>
                <c:pt idx="7">
                  <c:v>58436</c:v>
                </c:pt>
                <c:pt idx="8">
                  <c:v>58550</c:v>
                </c:pt>
                <c:pt idx="9">
                  <c:v>58590</c:v>
                </c:pt>
              </c:numCache>
            </c:numRef>
          </c:val>
        </c:ser>
        <c:dLbls>
          <c:showLegendKey val="0"/>
          <c:showVal val="1"/>
          <c:showCatName val="0"/>
          <c:showSerName val="0"/>
          <c:showPercent val="0"/>
          <c:showBubbleSize val="0"/>
        </c:dLbls>
        <c:gapWidth val="20"/>
        <c:overlap val="100"/>
        <c:axId val="234760880"/>
        <c:axId val="234753040"/>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5.8853824374315432E-2"/>
                  <c:y val="-4.521518542239636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5.8853824374315418E-2"/>
                  <c:y val="5.366838714538672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5.640413058603895E-2"/>
                  <c:y val="3.875598086124401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5.2904568031358283E-2"/>
                  <c:y val="4.19457735247208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4.9372512848125251E-2"/>
                  <c:y val="-2.625260295193000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7.0445566598661136E-2"/>
                  <c:y val="5.128003989027699E-2"/>
                </c:manualLayout>
              </c:layout>
              <c:spPr>
                <a:noFill/>
                <a:ln>
                  <a:noFill/>
                </a:ln>
                <a:effectLst/>
              </c:spPr>
              <c:txPr>
                <a:bodyPr wrap="square" lIns="38100" tIns="19050" rIns="38100" bIns="19050" anchor="ctr">
                  <a:no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7.9457566290190032E-2"/>
                      <c:h val="6.4897174892386569E-2"/>
                    </c:manualLayout>
                  </c15:layout>
                </c:ext>
              </c:extLst>
            </c:dLbl>
            <c:dLbl>
              <c:idx val="6"/>
              <c:layout>
                <c:manualLayout>
                  <c:x val="-5.6404050700928701E-2"/>
                  <c:y val="4.029833571924371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7.3934385765219768E-2"/>
                  <c:y val="3.460926954023486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5.9903693140719617E-2"/>
                  <c:y val="-4.513556618819776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4.9405005476677623E-2"/>
                  <c:y val="3.55661881977670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5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平成20年</c:v>
                </c:pt>
                <c:pt idx="1">
                  <c:v>21</c:v>
                </c:pt>
                <c:pt idx="2">
                  <c:v>22</c:v>
                </c:pt>
                <c:pt idx="3">
                  <c:v>23</c:v>
                </c:pt>
                <c:pt idx="4">
                  <c:v>24</c:v>
                </c:pt>
                <c:pt idx="5">
                  <c:v>25</c:v>
                </c:pt>
                <c:pt idx="6">
                  <c:v>26</c:v>
                </c:pt>
                <c:pt idx="7">
                  <c:v>27</c:v>
                </c:pt>
                <c:pt idx="8">
                  <c:v>28</c:v>
                </c:pt>
              </c:strCache>
            </c:strRef>
          </c:cat>
          <c:val>
            <c:numRef>
              <c:f>グラフ!$K$5:$K$14</c:f>
              <c:numCache>
                <c:formatCode>0.0_ </c:formatCode>
                <c:ptCount val="10"/>
                <c:pt idx="0">
                  <c:v>1.2705937914373422</c:v>
                </c:pt>
                <c:pt idx="1">
                  <c:v>0.7955743361954789</c:v>
                </c:pt>
                <c:pt idx="2">
                  <c:v>0.54303508221694519</c:v>
                </c:pt>
                <c:pt idx="3">
                  <c:v>0.60742627608503974</c:v>
                </c:pt>
                <c:pt idx="4">
                  <c:v>1.2906061804914502</c:v>
                </c:pt>
                <c:pt idx="5">
                  <c:v>0.41324846563996598</c:v>
                </c:pt>
                <c:pt idx="6">
                  <c:v>2.4508731235502644E-2</c:v>
                </c:pt>
                <c:pt idx="7">
                  <c:v>-7.0074015679061005E-2</c:v>
                </c:pt>
                <c:pt idx="8">
                  <c:v>0.15043249341857842</c:v>
                </c:pt>
                <c:pt idx="9">
                  <c:v>3.060189556884552E-2</c:v>
                </c:pt>
              </c:numCache>
            </c:numRef>
          </c:val>
          <c:smooth val="0"/>
        </c:ser>
        <c:dLbls>
          <c:showLegendKey val="0"/>
          <c:showVal val="1"/>
          <c:showCatName val="0"/>
          <c:showSerName val="0"/>
          <c:showPercent val="0"/>
          <c:showBubbleSize val="0"/>
        </c:dLbls>
        <c:marker val="1"/>
        <c:smooth val="0"/>
        <c:axId val="234762448"/>
        <c:axId val="234755784"/>
      </c:lineChart>
      <c:catAx>
        <c:axId val="234760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3040"/>
        <c:crosses val="autoZero"/>
        <c:auto val="0"/>
        <c:lblAlgn val="ctr"/>
        <c:lblOffset val="100"/>
        <c:tickLblSkip val="3"/>
        <c:tickMarkSkip val="1"/>
        <c:noMultiLvlLbl val="0"/>
      </c:catAx>
      <c:valAx>
        <c:axId val="234753040"/>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34760880"/>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234762448"/>
        <c:scaling>
          <c:orientation val="minMax"/>
        </c:scaling>
        <c:delete val="1"/>
        <c:axPos val="b"/>
        <c:numFmt formatCode="General" sourceLinked="1"/>
        <c:majorTickMark val="out"/>
        <c:minorTickMark val="none"/>
        <c:tickLblPos val="none"/>
        <c:crossAx val="234755784"/>
        <c:crosses val="autoZero"/>
        <c:auto val="0"/>
        <c:lblAlgn val="ctr"/>
        <c:lblOffset val="100"/>
        <c:noMultiLvlLbl val="0"/>
      </c:catAx>
      <c:valAx>
        <c:axId val="234755784"/>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2448"/>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グラフ!$I$188:$I$190</c:f>
              <c:numCache>
                <c:formatCode>#,##0_);[Red]\(#,##0\)</c:formatCode>
                <c:ptCount val="3"/>
                <c:pt idx="0">
                  <c:v>21528</c:v>
                </c:pt>
                <c:pt idx="1">
                  <c:v>21264</c:v>
                </c:pt>
                <c:pt idx="2">
                  <c:v>20910</c:v>
                </c:pt>
              </c:numCache>
            </c:numRef>
          </c:val>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グラフ!$J$188:$J$190</c:f>
              <c:numCache>
                <c:formatCode>#,##0_);[Red]\(#,##0\)</c:formatCode>
                <c:ptCount val="3"/>
                <c:pt idx="0">
                  <c:v>71343</c:v>
                </c:pt>
                <c:pt idx="1">
                  <c:v>72687</c:v>
                </c:pt>
                <c:pt idx="2">
                  <c:v>72626</c:v>
                </c:pt>
              </c:numCache>
            </c:numRef>
          </c:val>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グラフ!$K$188:$K$190</c:f>
              <c:numCache>
                <c:formatCode>#,##0_);[Red]\(#,##0\)</c:formatCode>
                <c:ptCount val="3"/>
                <c:pt idx="0">
                  <c:v>13169</c:v>
                </c:pt>
                <c:pt idx="1">
                  <c:v>15846</c:v>
                </c:pt>
                <c:pt idx="2">
                  <c:v>19476</c:v>
                </c:pt>
              </c:numCache>
            </c:numRef>
          </c:val>
        </c:ser>
        <c:dLbls>
          <c:showLegendKey val="0"/>
          <c:showVal val="0"/>
          <c:showCatName val="0"/>
          <c:showSerName val="0"/>
          <c:showPercent val="0"/>
          <c:showBubbleSize val="0"/>
        </c:dLbls>
        <c:gapWidth val="40"/>
        <c:overlap val="100"/>
        <c:serLines>
          <c:spPr>
            <a:ln w="3175">
              <a:solidFill>
                <a:srgbClr val="000000"/>
              </a:solidFill>
              <a:prstDash val="solid"/>
            </a:ln>
          </c:spPr>
        </c:serLines>
        <c:axId val="234765584"/>
        <c:axId val="234765976"/>
      </c:barChart>
      <c:catAx>
        <c:axId val="2347655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5976"/>
        <c:crosses val="autoZero"/>
        <c:auto val="1"/>
        <c:lblAlgn val="ctr"/>
        <c:lblOffset val="100"/>
        <c:tickLblSkip val="1"/>
        <c:tickMarkSkip val="1"/>
        <c:noMultiLvlLbl val="0"/>
      </c:catAx>
      <c:valAx>
        <c:axId val="234765976"/>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65584"/>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668</c:v>
                </c:pt>
                <c:pt idx="1">
                  <c:v>672</c:v>
                </c:pt>
                <c:pt idx="2">
                  <c:v>676</c:v>
                </c:pt>
                <c:pt idx="3">
                  <c:v>750</c:v>
                </c:pt>
                <c:pt idx="4">
                  <c:v>681</c:v>
                </c:pt>
                <c:pt idx="5">
                  <c:v>719</c:v>
                </c:pt>
                <c:pt idx="6">
                  <c:v>717</c:v>
                </c:pt>
                <c:pt idx="7">
                  <c:v>673</c:v>
                </c:pt>
                <c:pt idx="8">
                  <c:v>727</c:v>
                </c:pt>
                <c:pt idx="9">
                  <c:v>736</c:v>
                </c:pt>
                <c:pt idx="10">
                  <c:v>661</c:v>
                </c:pt>
                <c:pt idx="11">
                  <c:v>736</c:v>
                </c:pt>
                <c:pt idx="12">
                  <c:v>748</c:v>
                </c:pt>
                <c:pt idx="13">
                  <c:v>702</c:v>
                </c:pt>
                <c:pt idx="14">
                  <c:v>776</c:v>
                </c:pt>
                <c:pt idx="15">
                  <c:v>711</c:v>
                </c:pt>
                <c:pt idx="16">
                  <c:v>753</c:v>
                </c:pt>
                <c:pt idx="17">
                  <c:v>785</c:v>
                </c:pt>
                <c:pt idx="18">
                  <c:v>676</c:v>
                </c:pt>
                <c:pt idx="19">
                  <c:v>579</c:v>
                </c:pt>
                <c:pt idx="20">
                  <c:v>559</c:v>
                </c:pt>
                <c:pt idx="21">
                  <c:v>571</c:v>
                </c:pt>
                <c:pt idx="22">
                  <c:v>570</c:v>
                </c:pt>
                <c:pt idx="23">
                  <c:v>592</c:v>
                </c:pt>
                <c:pt idx="24">
                  <c:v>617</c:v>
                </c:pt>
                <c:pt idx="25">
                  <c:v>594</c:v>
                </c:pt>
                <c:pt idx="26">
                  <c:v>601</c:v>
                </c:pt>
                <c:pt idx="27">
                  <c:v>607</c:v>
                </c:pt>
                <c:pt idx="28">
                  <c:v>686</c:v>
                </c:pt>
                <c:pt idx="29">
                  <c:v>712</c:v>
                </c:pt>
                <c:pt idx="30">
                  <c:v>701</c:v>
                </c:pt>
                <c:pt idx="31">
                  <c:v>710</c:v>
                </c:pt>
                <c:pt idx="32">
                  <c:v>748</c:v>
                </c:pt>
                <c:pt idx="33">
                  <c:v>698</c:v>
                </c:pt>
                <c:pt idx="34">
                  <c:v>711</c:v>
                </c:pt>
                <c:pt idx="35">
                  <c:v>724</c:v>
                </c:pt>
                <c:pt idx="36">
                  <c:v>757</c:v>
                </c:pt>
                <c:pt idx="37">
                  <c:v>783</c:v>
                </c:pt>
                <c:pt idx="38">
                  <c:v>766</c:v>
                </c:pt>
                <c:pt idx="39">
                  <c:v>806</c:v>
                </c:pt>
                <c:pt idx="40">
                  <c:v>908</c:v>
                </c:pt>
                <c:pt idx="41">
                  <c:v>963</c:v>
                </c:pt>
                <c:pt idx="42">
                  <c:v>927</c:v>
                </c:pt>
                <c:pt idx="43">
                  <c:v>881</c:v>
                </c:pt>
                <c:pt idx="44">
                  <c:v>854</c:v>
                </c:pt>
                <c:pt idx="45">
                  <c:v>799</c:v>
                </c:pt>
                <c:pt idx="46">
                  <c:v>836</c:v>
                </c:pt>
                <c:pt idx="47">
                  <c:v>813</c:v>
                </c:pt>
                <c:pt idx="48">
                  <c:v>806</c:v>
                </c:pt>
                <c:pt idx="49">
                  <c:v>624</c:v>
                </c:pt>
                <c:pt idx="50">
                  <c:v>700</c:v>
                </c:pt>
                <c:pt idx="51">
                  <c:v>713</c:v>
                </c:pt>
                <c:pt idx="52">
                  <c:v>703</c:v>
                </c:pt>
                <c:pt idx="53">
                  <c:v>629</c:v>
                </c:pt>
                <c:pt idx="54">
                  <c:v>718</c:v>
                </c:pt>
                <c:pt idx="55">
                  <c:v>675</c:v>
                </c:pt>
                <c:pt idx="56">
                  <c:v>691</c:v>
                </c:pt>
                <c:pt idx="57">
                  <c:v>687</c:v>
                </c:pt>
                <c:pt idx="58">
                  <c:v>621</c:v>
                </c:pt>
                <c:pt idx="59">
                  <c:v>614</c:v>
                </c:pt>
                <c:pt idx="60">
                  <c:v>655</c:v>
                </c:pt>
                <c:pt idx="61">
                  <c:v>653</c:v>
                </c:pt>
                <c:pt idx="62">
                  <c:v>689</c:v>
                </c:pt>
                <c:pt idx="63">
                  <c:v>691</c:v>
                </c:pt>
                <c:pt idx="64">
                  <c:v>686</c:v>
                </c:pt>
                <c:pt idx="65">
                  <c:v>698</c:v>
                </c:pt>
                <c:pt idx="66">
                  <c:v>655</c:v>
                </c:pt>
                <c:pt idx="67">
                  <c:v>702</c:v>
                </c:pt>
                <c:pt idx="68">
                  <c:v>557</c:v>
                </c:pt>
                <c:pt idx="69">
                  <c:v>271</c:v>
                </c:pt>
                <c:pt idx="70">
                  <c:v>297</c:v>
                </c:pt>
                <c:pt idx="71">
                  <c:v>404</c:v>
                </c:pt>
                <c:pt idx="72">
                  <c:v>396</c:v>
                </c:pt>
                <c:pt idx="73">
                  <c:v>430</c:v>
                </c:pt>
                <c:pt idx="74">
                  <c:v>446</c:v>
                </c:pt>
                <c:pt idx="75">
                  <c:v>415</c:v>
                </c:pt>
                <c:pt idx="76">
                  <c:v>387</c:v>
                </c:pt>
                <c:pt idx="77">
                  <c:v>395</c:v>
                </c:pt>
                <c:pt idx="78">
                  <c:v>343</c:v>
                </c:pt>
                <c:pt idx="79">
                  <c:v>341</c:v>
                </c:pt>
                <c:pt idx="80">
                  <c:v>297</c:v>
                </c:pt>
                <c:pt idx="81">
                  <c:v>261</c:v>
                </c:pt>
                <c:pt idx="82">
                  <c:v>264</c:v>
                </c:pt>
                <c:pt idx="83">
                  <c:v>215</c:v>
                </c:pt>
                <c:pt idx="84">
                  <c:v>140</c:v>
                </c:pt>
                <c:pt idx="85">
                  <c:v>170</c:v>
                </c:pt>
                <c:pt idx="86">
                  <c:v>121</c:v>
                </c:pt>
                <c:pt idx="87">
                  <c:v>103</c:v>
                </c:pt>
                <c:pt idx="88">
                  <c:v>76</c:v>
                </c:pt>
                <c:pt idx="89">
                  <c:v>58</c:v>
                </c:pt>
                <c:pt idx="90">
                  <c:v>42</c:v>
                </c:pt>
                <c:pt idx="91">
                  <c:v>41</c:v>
                </c:pt>
                <c:pt idx="92">
                  <c:v>41</c:v>
                </c:pt>
                <c:pt idx="93">
                  <c:v>20</c:v>
                </c:pt>
                <c:pt idx="94">
                  <c:v>18</c:v>
                </c:pt>
                <c:pt idx="95">
                  <c:v>7</c:v>
                </c:pt>
                <c:pt idx="96">
                  <c:v>10</c:v>
                </c:pt>
                <c:pt idx="97">
                  <c:v>9</c:v>
                </c:pt>
                <c:pt idx="98">
                  <c:v>0</c:v>
                </c:pt>
                <c:pt idx="99">
                  <c:v>9</c:v>
                </c:pt>
                <c:pt idx="100">
                  <c:v>10</c:v>
                </c:pt>
              </c:numCache>
            </c:numRef>
          </c:val>
        </c:ser>
        <c:dLbls>
          <c:showLegendKey val="0"/>
          <c:showVal val="0"/>
          <c:showCatName val="0"/>
          <c:showSerName val="0"/>
          <c:showPercent val="0"/>
          <c:showBubbleSize val="0"/>
        </c:dLbls>
        <c:gapWidth val="150"/>
        <c:axId val="234766368"/>
        <c:axId val="234763624"/>
      </c:barChart>
      <c:catAx>
        <c:axId val="23476636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3624"/>
        <c:crosses val="autoZero"/>
        <c:auto val="1"/>
        <c:lblAlgn val="ctr"/>
        <c:lblOffset val="100"/>
        <c:tickLblSkip val="10"/>
        <c:tickMarkSkip val="1"/>
        <c:noMultiLvlLbl val="0"/>
      </c:catAx>
      <c:valAx>
        <c:axId val="234763624"/>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636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699</c:v>
                </c:pt>
                <c:pt idx="1">
                  <c:v>646</c:v>
                </c:pt>
                <c:pt idx="2">
                  <c:v>684</c:v>
                </c:pt>
                <c:pt idx="3">
                  <c:v>711</c:v>
                </c:pt>
                <c:pt idx="4">
                  <c:v>716</c:v>
                </c:pt>
                <c:pt idx="5">
                  <c:v>678</c:v>
                </c:pt>
                <c:pt idx="6">
                  <c:v>682</c:v>
                </c:pt>
                <c:pt idx="7">
                  <c:v>715</c:v>
                </c:pt>
                <c:pt idx="8">
                  <c:v>668</c:v>
                </c:pt>
                <c:pt idx="9">
                  <c:v>691</c:v>
                </c:pt>
                <c:pt idx="10">
                  <c:v>595</c:v>
                </c:pt>
                <c:pt idx="11">
                  <c:v>670</c:v>
                </c:pt>
                <c:pt idx="12">
                  <c:v>680</c:v>
                </c:pt>
                <c:pt idx="13">
                  <c:v>696</c:v>
                </c:pt>
                <c:pt idx="14">
                  <c:v>737</c:v>
                </c:pt>
                <c:pt idx="15">
                  <c:v>744</c:v>
                </c:pt>
                <c:pt idx="16">
                  <c:v>730</c:v>
                </c:pt>
                <c:pt idx="17">
                  <c:v>710</c:v>
                </c:pt>
                <c:pt idx="18">
                  <c:v>657</c:v>
                </c:pt>
                <c:pt idx="19">
                  <c:v>559</c:v>
                </c:pt>
                <c:pt idx="20">
                  <c:v>605</c:v>
                </c:pt>
                <c:pt idx="21">
                  <c:v>556</c:v>
                </c:pt>
                <c:pt idx="22">
                  <c:v>593</c:v>
                </c:pt>
                <c:pt idx="23">
                  <c:v>588</c:v>
                </c:pt>
                <c:pt idx="24">
                  <c:v>586</c:v>
                </c:pt>
                <c:pt idx="25">
                  <c:v>601</c:v>
                </c:pt>
                <c:pt idx="26">
                  <c:v>616</c:v>
                </c:pt>
                <c:pt idx="27">
                  <c:v>648</c:v>
                </c:pt>
                <c:pt idx="28">
                  <c:v>669</c:v>
                </c:pt>
                <c:pt idx="29">
                  <c:v>728</c:v>
                </c:pt>
                <c:pt idx="30">
                  <c:v>754</c:v>
                </c:pt>
                <c:pt idx="31">
                  <c:v>793</c:v>
                </c:pt>
                <c:pt idx="32">
                  <c:v>773</c:v>
                </c:pt>
                <c:pt idx="33">
                  <c:v>746</c:v>
                </c:pt>
                <c:pt idx="34">
                  <c:v>761</c:v>
                </c:pt>
                <c:pt idx="35">
                  <c:v>779</c:v>
                </c:pt>
                <c:pt idx="36">
                  <c:v>806</c:v>
                </c:pt>
                <c:pt idx="37">
                  <c:v>826</c:v>
                </c:pt>
                <c:pt idx="38">
                  <c:v>836</c:v>
                </c:pt>
                <c:pt idx="39">
                  <c:v>868</c:v>
                </c:pt>
                <c:pt idx="40">
                  <c:v>906</c:v>
                </c:pt>
                <c:pt idx="41" formatCode="#,##0">
                  <c:v>1016</c:v>
                </c:pt>
                <c:pt idx="42">
                  <c:v>973</c:v>
                </c:pt>
                <c:pt idx="43">
                  <c:v>913</c:v>
                </c:pt>
                <c:pt idx="44">
                  <c:v>885</c:v>
                </c:pt>
                <c:pt idx="45">
                  <c:v>861</c:v>
                </c:pt>
                <c:pt idx="46">
                  <c:v>843</c:v>
                </c:pt>
                <c:pt idx="47">
                  <c:v>886</c:v>
                </c:pt>
                <c:pt idx="48">
                  <c:v>840</c:v>
                </c:pt>
                <c:pt idx="49">
                  <c:v>687</c:v>
                </c:pt>
                <c:pt idx="50">
                  <c:v>749</c:v>
                </c:pt>
                <c:pt idx="51">
                  <c:v>737</c:v>
                </c:pt>
                <c:pt idx="52">
                  <c:v>796</c:v>
                </c:pt>
                <c:pt idx="53">
                  <c:v>714</c:v>
                </c:pt>
                <c:pt idx="54">
                  <c:v>746</c:v>
                </c:pt>
                <c:pt idx="55">
                  <c:v>691</c:v>
                </c:pt>
                <c:pt idx="56">
                  <c:v>686</c:v>
                </c:pt>
                <c:pt idx="57">
                  <c:v>647</c:v>
                </c:pt>
                <c:pt idx="58">
                  <c:v>675</c:v>
                </c:pt>
                <c:pt idx="59">
                  <c:v>639</c:v>
                </c:pt>
                <c:pt idx="60">
                  <c:v>697</c:v>
                </c:pt>
                <c:pt idx="61">
                  <c:v>733</c:v>
                </c:pt>
                <c:pt idx="62">
                  <c:v>706</c:v>
                </c:pt>
                <c:pt idx="63">
                  <c:v>756</c:v>
                </c:pt>
                <c:pt idx="64">
                  <c:v>759</c:v>
                </c:pt>
                <c:pt idx="65">
                  <c:v>733</c:v>
                </c:pt>
                <c:pt idx="66">
                  <c:v>671</c:v>
                </c:pt>
                <c:pt idx="67">
                  <c:v>721</c:v>
                </c:pt>
                <c:pt idx="68">
                  <c:v>564</c:v>
                </c:pt>
                <c:pt idx="69">
                  <c:v>291</c:v>
                </c:pt>
                <c:pt idx="70">
                  <c:v>338</c:v>
                </c:pt>
                <c:pt idx="71">
                  <c:v>453</c:v>
                </c:pt>
                <c:pt idx="72">
                  <c:v>455</c:v>
                </c:pt>
                <c:pt idx="73">
                  <c:v>474</c:v>
                </c:pt>
                <c:pt idx="74">
                  <c:v>504</c:v>
                </c:pt>
                <c:pt idx="75">
                  <c:v>476</c:v>
                </c:pt>
                <c:pt idx="76">
                  <c:v>446</c:v>
                </c:pt>
                <c:pt idx="77">
                  <c:v>429</c:v>
                </c:pt>
                <c:pt idx="78">
                  <c:v>430</c:v>
                </c:pt>
                <c:pt idx="79">
                  <c:v>440</c:v>
                </c:pt>
                <c:pt idx="80">
                  <c:v>373</c:v>
                </c:pt>
                <c:pt idx="81">
                  <c:v>407</c:v>
                </c:pt>
                <c:pt idx="82">
                  <c:v>321</c:v>
                </c:pt>
                <c:pt idx="83">
                  <c:v>312</c:v>
                </c:pt>
                <c:pt idx="84">
                  <c:v>259</c:v>
                </c:pt>
                <c:pt idx="85">
                  <c:v>238</c:v>
                </c:pt>
                <c:pt idx="86">
                  <c:v>234</c:v>
                </c:pt>
                <c:pt idx="87">
                  <c:v>218</c:v>
                </c:pt>
                <c:pt idx="88">
                  <c:v>169</c:v>
                </c:pt>
                <c:pt idx="89">
                  <c:v>178</c:v>
                </c:pt>
                <c:pt idx="90">
                  <c:v>129</c:v>
                </c:pt>
                <c:pt idx="91">
                  <c:v>103</c:v>
                </c:pt>
                <c:pt idx="92">
                  <c:v>104</c:v>
                </c:pt>
                <c:pt idx="93">
                  <c:v>83</c:v>
                </c:pt>
                <c:pt idx="94">
                  <c:v>60</c:v>
                </c:pt>
                <c:pt idx="95">
                  <c:v>54</c:v>
                </c:pt>
                <c:pt idx="96">
                  <c:v>56</c:v>
                </c:pt>
                <c:pt idx="97">
                  <c:v>23</c:v>
                </c:pt>
                <c:pt idx="98">
                  <c:v>26</c:v>
                </c:pt>
                <c:pt idx="99">
                  <c:v>27</c:v>
                </c:pt>
                <c:pt idx="100">
                  <c:v>28</c:v>
                </c:pt>
              </c:numCache>
            </c:numRef>
          </c:val>
        </c:ser>
        <c:dLbls>
          <c:showLegendKey val="0"/>
          <c:showVal val="0"/>
          <c:showCatName val="0"/>
          <c:showSerName val="0"/>
          <c:showPercent val="0"/>
          <c:showBubbleSize val="0"/>
        </c:dLbls>
        <c:gapWidth val="150"/>
        <c:axId val="458077800"/>
        <c:axId val="458082504"/>
      </c:barChart>
      <c:catAx>
        <c:axId val="458077800"/>
        <c:scaling>
          <c:orientation val="minMax"/>
        </c:scaling>
        <c:delete val="1"/>
        <c:axPos val="l"/>
        <c:majorTickMark val="out"/>
        <c:minorTickMark val="none"/>
        <c:tickLblPos val="none"/>
        <c:crossAx val="458082504"/>
        <c:crosses val="autoZero"/>
        <c:auto val="1"/>
        <c:lblAlgn val="ctr"/>
        <c:lblOffset val="100"/>
        <c:noMultiLvlLbl val="0"/>
      </c:catAx>
      <c:valAx>
        <c:axId val="458082504"/>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8077800"/>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63%</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グラフ!$H$44:$H$46</c:f>
              <c:strCache>
                <c:ptCount val="3"/>
                <c:pt idx="0">
                  <c:v>15歳未満</c:v>
                </c:pt>
                <c:pt idx="1">
                  <c:v>15～64歳</c:v>
                </c:pt>
                <c:pt idx="2">
                  <c:v>65歳以上</c:v>
                </c:pt>
              </c:strCache>
            </c:strRef>
          </c:cat>
          <c:val>
            <c:numRef>
              <c:f>グラフ!$I$44:$I$46</c:f>
              <c:numCache>
                <c:formatCode>#,##0_);[Red]\(#,##0\)</c:formatCode>
                <c:ptCount val="3"/>
                <c:pt idx="0">
                  <c:v>10050</c:v>
                </c:pt>
                <c:pt idx="1">
                  <c:v>36803</c:v>
                </c:pt>
                <c:pt idx="2">
                  <c:v>11737</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2.5378233284529039E-2"/>
                  <c:y val="3.492063492063492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0829749868382122E-2"/>
                  <c:y val="5.825396825396822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1483650561249391E-2"/>
                  <c:y val="3.2857142857142738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グラフ!$I$81:$I$91</c:f>
              <c:numCache>
                <c:formatCode>0_ </c:formatCode>
                <c:ptCount val="11"/>
                <c:pt idx="0">
                  <c:v>786</c:v>
                </c:pt>
                <c:pt idx="1">
                  <c:v>689</c:v>
                </c:pt>
                <c:pt idx="2">
                  <c:v>883</c:v>
                </c:pt>
                <c:pt idx="3">
                  <c:v>657</c:v>
                </c:pt>
                <c:pt idx="4">
                  <c:v>727</c:v>
                </c:pt>
                <c:pt idx="5">
                  <c:v>1573</c:v>
                </c:pt>
                <c:pt idx="6">
                  <c:v>494</c:v>
                </c:pt>
                <c:pt idx="7">
                  <c:v>28</c:v>
                </c:pt>
                <c:pt idx="8">
                  <c:v>-80</c:v>
                </c:pt>
                <c:pt idx="9">
                  <c:v>152</c:v>
                </c:pt>
                <c:pt idx="10">
                  <c:v>35</c:v>
                </c:pt>
              </c:numCache>
            </c:numRef>
          </c:val>
          <c:smooth val="0"/>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3.0746705710102497E-2"/>
                  <c:y val="-4.23809523809523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343582235236701E-2"/>
                  <c:y val="-4.55555555555556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グラフ!$J$81:$J$91</c:f>
              <c:numCache>
                <c:formatCode>0_ </c:formatCode>
                <c:ptCount val="11"/>
                <c:pt idx="0">
                  <c:v>908</c:v>
                </c:pt>
                <c:pt idx="1">
                  <c:v>957</c:v>
                </c:pt>
                <c:pt idx="2">
                  <c:v>967</c:v>
                </c:pt>
                <c:pt idx="3">
                  <c:v>853</c:v>
                </c:pt>
                <c:pt idx="4">
                  <c:v>859</c:v>
                </c:pt>
                <c:pt idx="5">
                  <c:v>899</c:v>
                </c:pt>
                <c:pt idx="6">
                  <c:v>812</c:v>
                </c:pt>
                <c:pt idx="7">
                  <c:v>720</c:v>
                </c:pt>
                <c:pt idx="8">
                  <c:v>746</c:v>
                </c:pt>
                <c:pt idx="9">
                  <c:v>620</c:v>
                </c:pt>
                <c:pt idx="10">
                  <c:v>554</c:v>
                </c:pt>
              </c:numCache>
            </c:numRef>
          </c:val>
          <c:smooth val="0"/>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3.709126403123475E-2"/>
                  <c:y val="3.920634920634920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9043435822352299E-2"/>
                  <c:y val="2.650793650793650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24597364568082E-2"/>
                  <c:y val="3.920634920634920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6.6373840897999026E-2"/>
                  <c:y val="2.333333333333333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4.0995607613469986E-2"/>
                  <c:y val="2.968253968253956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0756466569058079E-2"/>
                  <c:y val="3.920634920634920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グラフ!$K$81:$K$91</c:f>
              <c:numCache>
                <c:formatCode>0_ </c:formatCode>
                <c:ptCount val="11"/>
                <c:pt idx="0">
                  <c:v>-122</c:v>
                </c:pt>
                <c:pt idx="1">
                  <c:v>-268</c:v>
                </c:pt>
                <c:pt idx="2">
                  <c:v>-84</c:v>
                </c:pt>
                <c:pt idx="3">
                  <c:v>-196</c:v>
                </c:pt>
                <c:pt idx="4">
                  <c:v>-132</c:v>
                </c:pt>
                <c:pt idx="5">
                  <c:v>674</c:v>
                </c:pt>
                <c:pt idx="6">
                  <c:v>-318</c:v>
                </c:pt>
                <c:pt idx="7">
                  <c:v>-692</c:v>
                </c:pt>
                <c:pt idx="8">
                  <c:v>-826</c:v>
                </c:pt>
                <c:pt idx="9">
                  <c:v>-468</c:v>
                </c:pt>
                <c:pt idx="10">
                  <c:v>-519</c:v>
                </c:pt>
              </c:numCache>
            </c:numRef>
          </c:val>
          <c:smooth val="0"/>
        </c:ser>
        <c:dLbls>
          <c:showLegendKey val="0"/>
          <c:showVal val="1"/>
          <c:showCatName val="0"/>
          <c:showSerName val="0"/>
          <c:showPercent val="0"/>
          <c:showBubbleSize val="0"/>
        </c:dLbls>
        <c:marker val="1"/>
        <c:smooth val="0"/>
        <c:axId val="234755000"/>
        <c:axId val="234753432"/>
      </c:lineChart>
      <c:catAx>
        <c:axId val="234755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3432"/>
        <c:crossesAt val="-1000"/>
        <c:auto val="1"/>
        <c:lblAlgn val="ctr"/>
        <c:lblOffset val="100"/>
        <c:tickLblSkip val="1"/>
        <c:tickMarkSkip val="1"/>
        <c:noMultiLvlLbl val="0"/>
      </c:catAx>
      <c:valAx>
        <c:axId val="234753432"/>
        <c:scaling>
          <c:orientation val="minMax"/>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5000"/>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5.5555555555555558E-3"/>
                  <c:y val="3.258655804480651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3.4101924759405072E-2"/>
                  <c:y val="2.674813306177868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3.4101924759405072E-2"/>
                  <c:y val="2.674813306177868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8175998833479146E-2"/>
                  <c:y val="1.588594704684307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グラフ!$I$94:$I$104</c:f>
              <c:numCache>
                <c:formatCode>#,##0_);[Red]\(#,##0\)</c:formatCode>
                <c:ptCount val="11"/>
                <c:pt idx="0">
                  <c:v>1503</c:v>
                </c:pt>
                <c:pt idx="1">
                  <c:v>1516</c:v>
                </c:pt>
                <c:pt idx="2">
                  <c:v>1544</c:v>
                </c:pt>
                <c:pt idx="3">
                  <c:v>1507</c:v>
                </c:pt>
                <c:pt idx="4">
                  <c:v>1542</c:v>
                </c:pt>
                <c:pt idx="5">
                  <c:v>1540</c:v>
                </c:pt>
                <c:pt idx="6">
                  <c:v>1452</c:v>
                </c:pt>
                <c:pt idx="7">
                  <c:v>1391</c:v>
                </c:pt>
                <c:pt idx="8">
                  <c:v>1433</c:v>
                </c:pt>
                <c:pt idx="9">
                  <c:v>1350</c:v>
                </c:pt>
                <c:pt idx="10">
                  <c:v>1291</c:v>
                </c:pt>
              </c:numCache>
            </c:numRef>
          </c:val>
          <c:smooth val="0"/>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8518518518518543E-3"/>
                  <c:y val="3.258655804480641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9537037037037157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グラフ!$J$94:$J$104</c:f>
              <c:numCache>
                <c:formatCode>#,##0_);[Red]\(#,##0\)</c:formatCode>
                <c:ptCount val="11"/>
                <c:pt idx="0">
                  <c:v>595</c:v>
                </c:pt>
                <c:pt idx="1">
                  <c:v>559</c:v>
                </c:pt>
                <c:pt idx="2">
                  <c:v>577</c:v>
                </c:pt>
                <c:pt idx="3">
                  <c:v>654</c:v>
                </c:pt>
                <c:pt idx="4">
                  <c:v>683</c:v>
                </c:pt>
                <c:pt idx="5">
                  <c:v>641</c:v>
                </c:pt>
                <c:pt idx="6">
                  <c:v>640</c:v>
                </c:pt>
                <c:pt idx="7">
                  <c:v>671</c:v>
                </c:pt>
                <c:pt idx="8">
                  <c:v>687</c:v>
                </c:pt>
                <c:pt idx="9">
                  <c:v>730</c:v>
                </c:pt>
                <c:pt idx="10">
                  <c:v>737</c:v>
                </c:pt>
              </c:numCache>
            </c:numRef>
          </c:val>
          <c:smooth val="0"/>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5583406240886591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7805628463108844E-2"/>
                  <c:y val="4.847250509164967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3.4101924759405072E-2"/>
                  <c:y val="2.13170400543109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8175998833479146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グラフ!$K$94:$K$104</c:f>
              <c:numCache>
                <c:formatCode>#,##0_);[Red]\(#,##0\)</c:formatCode>
                <c:ptCount val="11"/>
                <c:pt idx="0">
                  <c:v>6076</c:v>
                </c:pt>
                <c:pt idx="1">
                  <c:v>5782</c:v>
                </c:pt>
                <c:pt idx="2">
                  <c:v>5675</c:v>
                </c:pt>
                <c:pt idx="3">
                  <c:v>5698</c:v>
                </c:pt>
                <c:pt idx="4">
                  <c:v>5604</c:v>
                </c:pt>
                <c:pt idx="5">
                  <c:v>6298</c:v>
                </c:pt>
                <c:pt idx="6">
                  <c:v>6024</c:v>
                </c:pt>
                <c:pt idx="7">
                  <c:v>5587</c:v>
                </c:pt>
                <c:pt idx="8">
                  <c:v>5477</c:v>
                </c:pt>
                <c:pt idx="9">
                  <c:v>5854</c:v>
                </c:pt>
                <c:pt idx="10">
                  <c:v>5634</c:v>
                </c:pt>
              </c:numCache>
            </c:numRef>
          </c:val>
          <c:smooth val="0"/>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2962962962962963E-2"/>
                  <c:y val="-2.444013235616426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7805628463108844E-2"/>
                  <c:y val="-4.847250509164969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3361184018664331E-2"/>
                  <c:y val="-2.4032586558044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6.0027850685331133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平成19年</c:v>
                </c:pt>
                <c:pt idx="1">
                  <c:v>20</c:v>
                </c:pt>
                <c:pt idx="2">
                  <c:v>21</c:v>
                </c:pt>
                <c:pt idx="3">
                  <c:v>22</c:v>
                </c:pt>
                <c:pt idx="4">
                  <c:v>23</c:v>
                </c:pt>
                <c:pt idx="5">
                  <c:v>24</c:v>
                </c:pt>
                <c:pt idx="6">
                  <c:v>25</c:v>
                </c:pt>
                <c:pt idx="7">
                  <c:v>26</c:v>
                </c:pt>
                <c:pt idx="8">
                  <c:v>27</c:v>
                </c:pt>
                <c:pt idx="9">
                  <c:v>28</c:v>
                </c:pt>
                <c:pt idx="10">
                  <c:v>平成29年</c:v>
                </c:pt>
              </c:strCache>
            </c:strRef>
          </c:cat>
          <c:val>
            <c:numRef>
              <c:f>グラフ!$L$94:$L$104</c:f>
              <c:numCache>
                <c:formatCode>#,##0_);[Red]\(#,##0\)</c:formatCode>
                <c:ptCount val="11"/>
                <c:pt idx="0">
                  <c:v>6198</c:v>
                </c:pt>
                <c:pt idx="1">
                  <c:v>6050</c:v>
                </c:pt>
                <c:pt idx="2">
                  <c:v>5759</c:v>
                </c:pt>
                <c:pt idx="3">
                  <c:v>5894</c:v>
                </c:pt>
                <c:pt idx="4">
                  <c:v>5736</c:v>
                </c:pt>
                <c:pt idx="5">
                  <c:v>5624</c:v>
                </c:pt>
                <c:pt idx="6">
                  <c:v>6342</c:v>
                </c:pt>
                <c:pt idx="7">
                  <c:v>6279</c:v>
                </c:pt>
                <c:pt idx="8">
                  <c:v>6303</c:v>
                </c:pt>
                <c:pt idx="9">
                  <c:v>6322</c:v>
                </c:pt>
                <c:pt idx="10">
                  <c:v>6153</c:v>
                </c:pt>
              </c:numCache>
            </c:numRef>
          </c:val>
          <c:smooth val="0"/>
        </c:ser>
        <c:dLbls>
          <c:showLegendKey val="0"/>
          <c:showVal val="1"/>
          <c:showCatName val="0"/>
          <c:showSerName val="0"/>
          <c:showPercent val="0"/>
          <c:showBubbleSize val="0"/>
        </c:dLbls>
        <c:marker val="1"/>
        <c:smooth val="0"/>
        <c:axId val="234755392"/>
        <c:axId val="234757744"/>
      </c:lineChart>
      <c:catAx>
        <c:axId val="234755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7744"/>
        <c:crosses val="autoZero"/>
        <c:auto val="1"/>
        <c:lblAlgn val="ctr"/>
        <c:lblOffset val="100"/>
        <c:tickLblSkip val="1"/>
        <c:tickMarkSkip val="1"/>
        <c:noMultiLvlLbl val="0"/>
      </c:catAx>
      <c:valAx>
        <c:axId val="234757744"/>
        <c:scaling>
          <c:orientation val="minMax"/>
        </c:scaling>
        <c:delete val="0"/>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5392"/>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2496354628"/>
          <c:y val="0.90224032586558045"/>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50000"/>
              </a:schemeClr>
            </a:solidFill>
            <a:ln w="12700">
              <a:solidFill>
                <a:srgbClr val="000000"/>
              </a:solidFill>
              <a:prstDash val="solid"/>
            </a:ln>
          </c:spPr>
          <c:invertIfNegative val="0"/>
          <c:dLbls>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グラフ!$I$126:$I$135</c:f>
              <c:numCache>
                <c:formatCode>#,##0_);[Red]\(#,##0\)</c:formatCode>
                <c:ptCount val="10"/>
                <c:pt idx="0">
                  <c:v>20362</c:v>
                </c:pt>
                <c:pt idx="1">
                  <c:v>29382</c:v>
                </c:pt>
                <c:pt idx="2">
                  <c:v>34773</c:v>
                </c:pt>
                <c:pt idx="3">
                  <c:v>40547</c:v>
                </c:pt>
                <c:pt idx="4">
                  <c:v>44316</c:v>
                </c:pt>
                <c:pt idx="5">
                  <c:v>47360</c:v>
                </c:pt>
                <c:pt idx="6">
                  <c:v>50440</c:v>
                </c:pt>
                <c:pt idx="7">
                  <c:v>52128</c:v>
                </c:pt>
                <c:pt idx="8">
                  <c:v>53948</c:v>
                </c:pt>
                <c:pt idx="9">
                  <c:v>55471</c:v>
                </c:pt>
              </c:numCache>
            </c:numRef>
          </c:val>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グラフ!$J$126:$J$135</c:f>
              <c:numCache>
                <c:formatCode>#,##0_);[Red]\(#,##0\)</c:formatCode>
                <c:ptCount val="10"/>
                <c:pt idx="0">
                  <c:v>21406</c:v>
                </c:pt>
                <c:pt idx="1">
                  <c:v>29907</c:v>
                </c:pt>
                <c:pt idx="2">
                  <c:v>35509</c:v>
                </c:pt>
                <c:pt idx="3">
                  <c:v>41064</c:v>
                </c:pt>
                <c:pt idx="4">
                  <c:v>45678</c:v>
                </c:pt>
                <c:pt idx="5">
                  <c:v>48642</c:v>
                </c:pt>
                <c:pt idx="6">
                  <c:v>52294</c:v>
                </c:pt>
                <c:pt idx="7">
                  <c:v>53921</c:v>
                </c:pt>
                <c:pt idx="8">
                  <c:v>56403</c:v>
                </c:pt>
                <c:pt idx="9" formatCode="_ * #,##0_ ;_ * &quot;△&quot;#,##0_ ;_ * \-_ ;_ @_ ">
                  <c:v>58761</c:v>
                </c:pt>
              </c:numCache>
            </c:numRef>
          </c:val>
        </c:ser>
        <c:dLbls>
          <c:showLegendKey val="0"/>
          <c:showVal val="1"/>
          <c:showCatName val="0"/>
          <c:showSerName val="0"/>
          <c:showPercent val="0"/>
          <c:showBubbleSize val="0"/>
        </c:dLbls>
        <c:gapWidth val="40"/>
        <c:overlap val="100"/>
        <c:axId val="234757352"/>
        <c:axId val="234758136"/>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1922600421001911E-2"/>
                  <c:y val="-4.054669703872442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3.618371950278098E-2"/>
                  <c:y val="3.23462414578587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グラフ!$K$126:$K$135</c:f>
              <c:numCache>
                <c:formatCode>0.00_);[Red]\(0.00\)</c:formatCode>
                <c:ptCount val="10"/>
                <c:pt idx="0">
                  <c:v>35.520000000000003</c:v>
                </c:pt>
                <c:pt idx="1">
                  <c:v>41.95</c:v>
                </c:pt>
                <c:pt idx="2">
                  <c:v>18.54</c:v>
                </c:pt>
                <c:pt idx="3">
                  <c:v>16.12</c:v>
                </c:pt>
                <c:pt idx="4">
                  <c:v>10.27</c:v>
                </c:pt>
                <c:pt idx="5">
                  <c:v>6.68</c:v>
                </c:pt>
                <c:pt idx="6">
                  <c:v>7.01</c:v>
                </c:pt>
                <c:pt idx="7">
                  <c:v>3.23</c:v>
                </c:pt>
                <c:pt idx="8">
                  <c:v>4.0599999999999996</c:v>
                </c:pt>
                <c:pt idx="9">
                  <c:v>3.52</c:v>
                </c:pt>
              </c:numCache>
            </c:numRef>
          </c:val>
          <c:smooth val="0"/>
        </c:ser>
        <c:dLbls>
          <c:showLegendKey val="0"/>
          <c:showVal val="1"/>
          <c:showCatName val="0"/>
          <c:showSerName val="0"/>
          <c:showPercent val="0"/>
          <c:showBubbleSize val="0"/>
        </c:dLbls>
        <c:marker val="1"/>
        <c:smooth val="0"/>
        <c:axId val="234758528"/>
        <c:axId val="234751472"/>
      </c:lineChart>
      <c:catAx>
        <c:axId val="234757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8136"/>
        <c:crosses val="autoZero"/>
        <c:auto val="1"/>
        <c:lblAlgn val="ctr"/>
        <c:lblOffset val="100"/>
        <c:tickLblSkip val="1"/>
        <c:tickMarkSkip val="1"/>
        <c:noMultiLvlLbl val="0"/>
      </c:catAx>
      <c:valAx>
        <c:axId val="234758136"/>
        <c:scaling>
          <c:orientation val="minMax"/>
        </c:scaling>
        <c:delete val="0"/>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7352"/>
        <c:crosses val="autoZero"/>
        <c:crossBetween val="between"/>
      </c:valAx>
      <c:catAx>
        <c:axId val="234758528"/>
        <c:scaling>
          <c:orientation val="minMax"/>
        </c:scaling>
        <c:delete val="1"/>
        <c:axPos val="b"/>
        <c:numFmt formatCode="General" sourceLinked="1"/>
        <c:majorTickMark val="out"/>
        <c:minorTickMark val="none"/>
        <c:tickLblPos val="none"/>
        <c:crossAx val="234751472"/>
        <c:crossesAt val="0"/>
        <c:auto val="1"/>
        <c:lblAlgn val="ctr"/>
        <c:lblOffset val="100"/>
        <c:noMultiLvlLbl val="0"/>
      </c:catAx>
      <c:valAx>
        <c:axId val="234751472"/>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5852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2"/>
      <c:rotY val="20"/>
      <c:depthPercent val="130"/>
      <c:rAngAx val="1"/>
    </c:view3D>
    <c:floor>
      <c:thickness val="0"/>
      <c:spPr>
        <a:solidFill>
          <a:srgbClr val="FFFFFF"/>
        </a:solidFill>
        <a:ln w="12700">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5625941494155342E-2"/>
                  <c:y val="-1.203704006853613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12020208000316E-2"/>
                  <c:y val="1.162276752827934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399864490622925E-3"/>
                  <c:y val="4.6986538325121093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0097126184100113E-2"/>
                  <c:y val="3.7554058477920309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9658069057156718E-3"/>
                  <c:y val="-1.420815121602523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8.8575770133996617E-3"/>
                  <c:y val="-6.9529250631612839E-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#,##0_);[Red]\(#,##0\)</c:formatCode>
                <c:ptCount val="14"/>
                <c:pt idx="0">
                  <c:v>99</c:v>
                </c:pt>
                <c:pt idx="1">
                  <c:v>85</c:v>
                </c:pt>
                <c:pt idx="2">
                  <c:v>59</c:v>
                </c:pt>
                <c:pt idx="3">
                  <c:v>67</c:v>
                </c:pt>
                <c:pt idx="4">
                  <c:v>439</c:v>
                </c:pt>
                <c:pt idx="5">
                  <c:v>75</c:v>
                </c:pt>
                <c:pt idx="6">
                  <c:v>10</c:v>
                </c:pt>
                <c:pt idx="7">
                  <c:v>6</c:v>
                </c:pt>
                <c:pt idx="8">
                  <c:v>5</c:v>
                </c:pt>
                <c:pt idx="9">
                  <c:v>4</c:v>
                </c:pt>
                <c:pt idx="10">
                  <c:v>6</c:v>
                </c:pt>
                <c:pt idx="11">
                  <c:v>0</c:v>
                </c:pt>
                <c:pt idx="12">
                  <c:v>7</c:v>
                </c:pt>
                <c:pt idx="13">
                  <c:v>105</c:v>
                </c:pt>
              </c:numCache>
            </c:numRef>
          </c:val>
        </c:ser>
        <c:dLbls>
          <c:showLegendKey val="0"/>
          <c:showVal val="1"/>
          <c:showCatName val="0"/>
          <c:showSerName val="0"/>
          <c:showPercent val="0"/>
          <c:showBubbleSize val="0"/>
        </c:dLbls>
        <c:gapWidth val="110"/>
        <c:gapDepth val="120"/>
        <c:shape val="box"/>
        <c:axId val="234761664"/>
        <c:axId val="234759312"/>
        <c:axId val="0"/>
      </c:bar3DChart>
      <c:catAx>
        <c:axId val="23476166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234759312"/>
        <c:crosses val="autoZero"/>
        <c:auto val="1"/>
        <c:lblAlgn val="ctr"/>
        <c:lblOffset val="100"/>
        <c:tickLblSkip val="1"/>
        <c:tickMarkSkip val="1"/>
        <c:noMultiLvlLbl val="0"/>
      </c:catAx>
      <c:valAx>
        <c:axId val="2347593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6537E-2"/>
              <c:y val="1.8962681639847278E-2"/>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1664"/>
        <c:crosses val="autoZero"/>
        <c:crossBetween val="between"/>
        <c:majorUnit val="3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64.014373716632448</c:v>
                </c:pt>
                <c:pt idx="1">
                  <c:v>97.318614748931992</c:v>
                </c:pt>
              </c:numCache>
            </c:numRef>
          </c:val>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c:formatCode>
                <c:ptCount val="2"/>
                <c:pt idx="0">
                  <c:v>35.985626283367552</c:v>
                </c:pt>
                <c:pt idx="1">
                  <c:v>2.6813852510680078</c:v>
                </c:pt>
              </c:numCache>
            </c:numRef>
          </c:val>
        </c:ser>
        <c:dLbls>
          <c:showLegendKey val="0"/>
          <c:showVal val="1"/>
          <c:showCatName val="0"/>
          <c:showSerName val="0"/>
          <c:showPercent val="0"/>
          <c:showBubbleSize val="0"/>
        </c:dLbls>
        <c:gapWidth val="20"/>
        <c:overlap val="100"/>
        <c:serLines>
          <c:spPr>
            <a:ln w="3175">
              <a:solidFill>
                <a:srgbClr val="FFFFFF"/>
              </a:solidFill>
              <a:prstDash val="sysDash"/>
            </a:ln>
          </c:spPr>
        </c:serLines>
        <c:axId val="234759704"/>
        <c:axId val="234760096"/>
      </c:barChart>
      <c:catAx>
        <c:axId val="234759704"/>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0096"/>
        <c:crosses val="max"/>
        <c:auto val="1"/>
        <c:lblAlgn val="ctr"/>
        <c:lblOffset val="100"/>
        <c:tickLblSkip val="1"/>
        <c:tickMarkSkip val="1"/>
        <c:noMultiLvlLbl val="0"/>
      </c:catAx>
      <c:valAx>
        <c:axId val="234760096"/>
        <c:scaling>
          <c:orientation val="minMax"/>
        </c:scaling>
        <c:delete val="0"/>
        <c:axPos val="l"/>
        <c:numFmt formatCode="0%" sourceLinked="1"/>
        <c:majorTickMark val="in"/>
        <c:minorTickMark val="none"/>
        <c:tickLblPos val="none"/>
        <c:spPr>
          <a:ln w="3175">
            <a:solidFill>
              <a:srgbClr val="000000"/>
            </a:solidFill>
            <a:prstDash val="solid"/>
          </a:ln>
        </c:spPr>
        <c:crossAx val="234759704"/>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グラフ!$H$38:$H$40</c:f>
              <c:strCache>
                <c:ptCount val="3"/>
                <c:pt idx="0">
                  <c:v>15歳未満</c:v>
                </c:pt>
                <c:pt idx="1">
                  <c:v>15～64歳</c:v>
                </c:pt>
                <c:pt idx="2">
                  <c:v>65歳以上</c:v>
                </c:pt>
              </c:strCache>
            </c:strRef>
          </c:cat>
          <c:val>
            <c:numRef>
              <c:f>グラフ!$I$38:$I$40</c:f>
              <c:numCache>
                <c:formatCode>#,##0_);[Red]\(#,##0\)</c:formatCode>
                <c:ptCount val="3"/>
                <c:pt idx="0">
                  <c:v>10433</c:v>
                </c:pt>
                <c:pt idx="1">
                  <c:v>36027</c:v>
                </c:pt>
                <c:pt idx="2">
                  <c:v>9322</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グラフ!$I$197:$I$199</c:f>
              <c:numCache>
                <c:formatCode>#,##0_);[Red]\(#,##0\)</c:formatCode>
                <c:ptCount val="3"/>
                <c:pt idx="0">
                  <c:v>16350</c:v>
                </c:pt>
                <c:pt idx="1">
                  <c:v>16933</c:v>
                </c:pt>
                <c:pt idx="2">
                  <c:v>18531</c:v>
                </c:pt>
              </c:numCache>
            </c:numRef>
          </c:val>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グラフ!$J$197:$J$199</c:f>
              <c:numCache>
                <c:formatCode>#,##0_);[Red]\(#,##0\)</c:formatCode>
                <c:ptCount val="3"/>
                <c:pt idx="0">
                  <c:v>20157</c:v>
                </c:pt>
                <c:pt idx="1">
                  <c:v>21936</c:v>
                </c:pt>
                <c:pt idx="2">
                  <c:v>23767</c:v>
                </c:pt>
              </c:numCache>
            </c:numRef>
          </c:val>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グラフ!$K$197:$K$199</c:f>
              <c:numCache>
                <c:formatCode>#,##0_);[Red]\(#,##0\)</c:formatCode>
                <c:ptCount val="3"/>
                <c:pt idx="0">
                  <c:v>1679</c:v>
                </c:pt>
                <c:pt idx="1">
                  <c:v>1825</c:v>
                </c:pt>
                <c:pt idx="2">
                  <c:v>1465</c:v>
                </c:pt>
              </c:numCache>
            </c:numRef>
          </c:val>
        </c:ser>
        <c:dLbls>
          <c:showLegendKey val="0"/>
          <c:showVal val="1"/>
          <c:showCatName val="0"/>
          <c:showSerName val="0"/>
          <c:showPercent val="0"/>
          <c:showBubbleSize val="0"/>
        </c:dLbls>
        <c:gapWidth val="30"/>
        <c:overlap val="100"/>
        <c:axId val="234764408"/>
        <c:axId val="234765192"/>
      </c:barChart>
      <c:catAx>
        <c:axId val="234764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4765192"/>
        <c:crosses val="autoZero"/>
        <c:auto val="0"/>
        <c:lblAlgn val="ctr"/>
        <c:lblOffset val="100"/>
        <c:tickLblSkip val="1"/>
        <c:tickMarkSkip val="1"/>
        <c:noMultiLvlLbl val="0"/>
      </c:catAx>
      <c:valAx>
        <c:axId val="234765192"/>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64408"/>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52</xdr:row>
      <xdr:rowOff>0</xdr:rowOff>
    </xdr:from>
    <xdr:to>
      <xdr:col>21</xdr:col>
      <xdr:colOff>342900</xdr:colOff>
      <xdr:row>53</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48</xdr:row>
      <xdr:rowOff>9525</xdr:rowOff>
    </xdr:from>
    <xdr:to>
      <xdr:col>22</xdr:col>
      <xdr:colOff>257175</xdr:colOff>
      <xdr:row>51</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48</xdr:row>
      <xdr:rowOff>9525</xdr:rowOff>
    </xdr:from>
    <xdr:to>
      <xdr:col>16</xdr:col>
      <xdr:colOff>390525</xdr:colOff>
      <xdr:row>51</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48</xdr:row>
      <xdr:rowOff>152400</xdr:rowOff>
    </xdr:from>
    <xdr:to>
      <xdr:col>22</xdr:col>
      <xdr:colOff>714375</xdr:colOff>
      <xdr:row>51</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2" name="左中かっこ 1"/>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133350</xdr:colOff>
      <xdr:row>57</xdr:row>
      <xdr:rowOff>104775</xdr:rowOff>
    </xdr:from>
    <xdr:to>
      <xdr:col>23</xdr:col>
      <xdr:colOff>257175</xdr:colOff>
      <xdr:row>58</xdr:row>
      <xdr:rowOff>123825</xdr:rowOff>
    </xdr:to>
    <xdr:sp macro="" textlink="">
      <xdr:nvSpPr>
        <xdr:cNvPr id="9217" name="Text Box 2"/>
        <xdr:cNvSpPr txBox="1">
          <a:spLocks noChangeArrowheads="1"/>
        </xdr:cNvSpPr>
      </xdr:nvSpPr>
      <xdr:spPr bwMode="auto">
        <a:xfrm>
          <a:off x="12439650" y="11630025"/>
          <a:ext cx="1847850" cy="209550"/>
        </a:xfrm>
        <a:prstGeom prst="rect">
          <a:avLst/>
        </a:prstGeom>
        <a:noFill/>
        <a:ln w="9525">
          <a:noFill/>
          <a:round/>
          <a:headEnd/>
          <a:tailEnd/>
        </a:ln>
      </xdr:spPr>
    </xdr:sp>
    <xdr:clientData/>
  </xdr:twoCellAnchor>
  <xdr:twoCellAnchor>
    <xdr:from>
      <xdr:col>16</xdr:col>
      <xdr:colOff>104775</xdr:colOff>
      <xdr:row>48</xdr:row>
      <xdr:rowOff>19050</xdr:rowOff>
    </xdr:from>
    <xdr:to>
      <xdr:col>16</xdr:col>
      <xdr:colOff>333375</xdr:colOff>
      <xdr:row>51</xdr:row>
      <xdr:rowOff>161925</xdr:rowOff>
    </xdr:to>
    <xdr:sp macro="" textlink="">
      <xdr:nvSpPr>
        <xdr:cNvPr id="25" name="AutoShape 27"/>
        <xdr:cNvSpPr>
          <a:spLocks/>
        </xdr:cNvSpPr>
      </xdr:nvSpPr>
      <xdr:spPr bwMode="auto">
        <a:xfrm>
          <a:off x="9477375" y="982980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21</xdr:col>
      <xdr:colOff>723900</xdr:colOff>
      <xdr:row>48</xdr:row>
      <xdr:rowOff>19050</xdr:rowOff>
    </xdr:from>
    <xdr:to>
      <xdr:col>22</xdr:col>
      <xdr:colOff>200025</xdr:colOff>
      <xdr:row>51</xdr:row>
      <xdr:rowOff>161925</xdr:rowOff>
    </xdr:to>
    <xdr:sp macro="" textlink="">
      <xdr:nvSpPr>
        <xdr:cNvPr id="96" name="AutoShape 26"/>
        <xdr:cNvSpPr>
          <a:spLocks/>
        </xdr:cNvSpPr>
      </xdr:nvSpPr>
      <xdr:spPr bwMode="auto">
        <a:xfrm>
          <a:off x="13030200" y="982980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20</xdr:col>
      <xdr:colOff>552450</xdr:colOff>
      <xdr:row>57</xdr:row>
      <xdr:rowOff>19050</xdr:rowOff>
    </xdr:from>
    <xdr:to>
      <xdr:col>22</xdr:col>
      <xdr:colOff>895350</xdr:colOff>
      <xdr:row>58</xdr:row>
      <xdr:rowOff>38100</xdr:rowOff>
    </xdr:to>
    <xdr:sp macro="" textlink="">
      <xdr:nvSpPr>
        <xdr:cNvPr id="34" name="Text Box 2"/>
        <xdr:cNvSpPr txBox="1">
          <a:spLocks noChangeArrowheads="1"/>
        </xdr:cNvSpPr>
      </xdr:nvSpPr>
      <xdr:spPr bwMode="auto">
        <a:xfrm>
          <a:off x="12106275" y="11544300"/>
          <a:ext cx="1847850" cy="209550"/>
        </a:xfrm>
        <a:prstGeom prst="rect">
          <a:avLst/>
        </a:prstGeom>
        <a:noFill/>
        <a:ln w="9525">
          <a:noFill/>
          <a:round/>
          <a:headEnd/>
          <a:tailEnd/>
        </a:ln>
      </xdr:spPr>
    </xdr:sp>
    <xdr:clientData/>
  </xdr:twoCellAnchor>
  <xdr:twoCellAnchor>
    <xdr:from>
      <xdr:col>22</xdr:col>
      <xdr:colOff>247650</xdr:colOff>
      <xdr:row>48</xdr:row>
      <xdr:rowOff>171450</xdr:rowOff>
    </xdr:from>
    <xdr:to>
      <xdr:col>22</xdr:col>
      <xdr:colOff>676275</xdr:colOff>
      <xdr:row>51</xdr:row>
      <xdr:rowOff>38100</xdr:rowOff>
    </xdr:to>
    <xdr:sp macro="" textlink="" fLocksText="0">
      <xdr:nvSpPr>
        <xdr:cNvPr id="38" name="Rectangle 11"/>
        <xdr:cNvSpPr>
          <a:spLocks noChangeArrowheads="1"/>
        </xdr:cNvSpPr>
      </xdr:nvSpPr>
      <xdr:spPr bwMode="auto">
        <a:xfrm>
          <a:off x="13306425" y="998220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381000</xdr:colOff>
      <xdr:row>48</xdr:row>
      <xdr:rowOff>142875</xdr:rowOff>
    </xdr:from>
    <xdr:to>
      <xdr:col>17</xdr:col>
      <xdr:colOff>47625</xdr:colOff>
      <xdr:row>50</xdr:row>
      <xdr:rowOff>180975</xdr:rowOff>
    </xdr:to>
    <xdr:sp macro="" textlink="" fLocksText="0">
      <xdr:nvSpPr>
        <xdr:cNvPr id="42" name="Rectangle 12"/>
        <xdr:cNvSpPr>
          <a:spLocks noChangeArrowheads="1"/>
        </xdr:cNvSpPr>
      </xdr:nvSpPr>
      <xdr:spPr bwMode="auto">
        <a:xfrm>
          <a:off x="9753600" y="995362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44" name="左中かっこ 43"/>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4"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5"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6"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7"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8"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9"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20"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21"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7</xdr:row>
      <xdr:rowOff>133350</xdr:rowOff>
    </xdr:from>
    <xdr:to>
      <xdr:col>3</xdr:col>
      <xdr:colOff>142875</xdr:colOff>
      <xdr:row>31</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66675</xdr:colOff>
      <xdr:row>40</xdr:row>
      <xdr:rowOff>95250</xdr:rowOff>
    </xdr:from>
    <xdr:to>
      <xdr:col>5</xdr:col>
      <xdr:colOff>990600</xdr:colOff>
      <xdr:row>58</xdr:row>
      <xdr:rowOff>9525</xdr:rowOff>
    </xdr:to>
    <xdr:graphicFrame macro="">
      <xdr:nvGraphicFramePr>
        <xdr:cNvPr id="71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66</xdr:row>
      <xdr:rowOff>76200</xdr:rowOff>
    </xdr:from>
    <xdr:to>
      <xdr:col>5</xdr:col>
      <xdr:colOff>838200</xdr:colOff>
      <xdr:row>89</xdr:row>
      <xdr:rowOff>133350</xdr:rowOff>
    </xdr:to>
    <xdr:graphicFrame macro="">
      <xdr:nvGraphicFramePr>
        <xdr:cNvPr id="71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94</xdr:row>
      <xdr:rowOff>19050</xdr:rowOff>
    </xdr:from>
    <xdr:to>
      <xdr:col>5</xdr:col>
      <xdr:colOff>1076325</xdr:colOff>
      <xdr:row>121</xdr:row>
      <xdr:rowOff>66675</xdr:rowOff>
    </xdr:to>
    <xdr:graphicFrame macro="">
      <xdr:nvGraphicFramePr>
        <xdr:cNvPr id="717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790575</xdr:colOff>
      <xdr:row>37</xdr:row>
      <xdr:rowOff>9525</xdr:rowOff>
    </xdr:from>
    <xdr:to>
      <xdr:col>2</xdr:col>
      <xdr:colOff>238125</xdr:colOff>
      <xdr:row>38</xdr:row>
      <xdr:rowOff>57150</xdr:rowOff>
    </xdr:to>
    <xdr:sp macro="" textlink="">
      <xdr:nvSpPr>
        <xdr:cNvPr id="465925" name="Text Box 11"/>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465926" name="Text Box 12"/>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twoCellAnchor editAs="oneCell">
    <xdr:from>
      <xdr:col>0</xdr:col>
      <xdr:colOff>314325</xdr:colOff>
      <xdr:row>125</xdr:row>
      <xdr:rowOff>123825</xdr:rowOff>
    </xdr:from>
    <xdr:to>
      <xdr:col>5</xdr:col>
      <xdr:colOff>1095375</xdr:colOff>
      <xdr:row>150</xdr:row>
      <xdr:rowOff>19050</xdr:rowOff>
    </xdr:to>
    <xdr:graphicFrame macro="">
      <xdr:nvGraphicFramePr>
        <xdr:cNvPr id="717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6</xdr:row>
      <xdr:rowOff>9525</xdr:rowOff>
    </xdr:from>
    <xdr:to>
      <xdr:col>5</xdr:col>
      <xdr:colOff>390525</xdr:colOff>
      <xdr:row>7</xdr:row>
      <xdr:rowOff>19050</xdr:rowOff>
    </xdr:to>
    <xdr:sp macro="" textlink="">
      <xdr:nvSpPr>
        <xdr:cNvPr id="466066" name="Text Box 19"/>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7177" name="Line 20"/>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4132" name="Text Box 36"/>
        <xdr:cNvSpPr txBox="1">
          <a:spLocks noChangeArrowheads="1"/>
        </xdr:cNvSpPr>
      </xdr:nvSpPr>
      <xdr:spPr bwMode="auto">
        <a:xfrm>
          <a:off x="3048000" y="11239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19</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29</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4133" name="Text Box 37"/>
        <xdr:cNvSpPr txBox="1">
          <a:spLocks noChangeArrowheads="1"/>
        </xdr:cNvSpPr>
      </xdr:nvSpPr>
      <xdr:spPr bwMode="auto">
        <a:xfrm>
          <a:off x="3095624" y="16059149"/>
          <a:ext cx="11144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19</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29</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4145" name="Text Box 49"/>
        <xdr:cNvSpPr txBox="1">
          <a:spLocks noChangeArrowheads="1"/>
        </xdr:cNvSpPr>
      </xdr:nvSpPr>
      <xdr:spPr bwMode="auto">
        <a:xfrm>
          <a:off x="3076575" y="3263265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7181"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718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28575</xdr:rowOff>
    </xdr:from>
    <xdr:to>
      <xdr:col>2</xdr:col>
      <xdr:colOff>1133475</xdr:colOff>
      <xdr:row>58</xdr:row>
      <xdr:rowOff>123825</xdr:rowOff>
    </xdr:to>
    <xdr:graphicFrame macro="">
      <xdr:nvGraphicFramePr>
        <xdr:cNvPr id="7187"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561975</xdr:colOff>
      <xdr:row>160</xdr:row>
      <xdr:rowOff>85725</xdr:rowOff>
    </xdr:from>
    <xdr:to>
      <xdr:col>5</xdr:col>
      <xdr:colOff>1133475</xdr:colOff>
      <xdr:row>176</xdr:row>
      <xdr:rowOff>104775</xdr:rowOff>
    </xdr:to>
    <xdr:pic>
      <xdr:nvPicPr>
        <xdr:cNvPr id="718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86225" cy="2762250"/>
        </a:xfrm>
        <a:prstGeom prst="rect">
          <a:avLst/>
        </a:prstGeom>
        <a:noFill/>
        <a:ln w="9525">
          <a:noFill/>
          <a:miter lim="800000"/>
          <a:headEnd/>
          <a:tailEnd/>
        </a:ln>
      </xdr:spPr>
    </xdr:pic>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7189"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465958" name="Text Box 37"/>
        <xdr:cNvSpPr txBox="1">
          <a:spLocks noChangeArrowheads="1"/>
        </xdr:cNvSpPr>
      </xdr:nvSpPr>
      <xdr:spPr bwMode="auto">
        <a:xfrm>
          <a:off x="2857500" y="215455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71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719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719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58,550</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55,787</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0"/>
  <sheetViews>
    <sheetView view="pageBreakPreview" topLeftCell="A5" zoomScaleNormal="100" zoomScaleSheetLayoutView="100" workbookViewId="0">
      <selection activeCell="K250" sqref="K250"/>
    </sheetView>
  </sheetViews>
  <sheetFormatPr defaultRowHeight="17.100000000000001" customHeight="1" x14ac:dyDescent="0.15"/>
  <cols>
    <col min="1" max="1" width="8.625" style="350" customWidth="1"/>
    <col min="2" max="2" width="9.625" style="350" customWidth="1"/>
    <col min="3" max="3" width="10.375" style="350" customWidth="1"/>
    <col min="4" max="4" width="10.25" style="350" bestFit="1" customWidth="1"/>
    <col min="5" max="5" width="9.5" style="350" customWidth="1"/>
    <col min="6" max="6" width="9.125" style="350" bestFit="1" customWidth="1"/>
    <col min="7" max="8" width="8.875" style="350" customWidth="1"/>
    <col min="9" max="9" width="7.5" style="350" customWidth="1"/>
    <col min="10" max="10" width="8.75" style="350" customWidth="1"/>
    <col min="11" max="16384" width="9" style="350"/>
  </cols>
  <sheetData>
    <row r="1" spans="1:14" ht="30" customHeight="1" x14ac:dyDescent="0.15">
      <c r="A1" s="346" t="s">
        <v>706</v>
      </c>
      <c r="B1" s="607"/>
      <c r="C1" s="607"/>
      <c r="D1" s="607"/>
      <c r="E1" s="607"/>
      <c r="F1" s="607"/>
      <c r="G1" s="607"/>
      <c r="H1" s="607"/>
      <c r="I1" s="607"/>
      <c r="J1" s="607"/>
    </row>
    <row r="2" spans="1:14" ht="15" customHeight="1" x14ac:dyDescent="0.15">
      <c r="A2" s="347"/>
      <c r="B2" s="608"/>
      <c r="C2" s="608"/>
      <c r="D2" s="608"/>
      <c r="E2" s="608"/>
      <c r="F2" s="608"/>
      <c r="G2" s="608"/>
      <c r="H2" s="608"/>
      <c r="I2" s="608"/>
      <c r="J2" s="608"/>
    </row>
    <row r="3" spans="1:14" ht="15" customHeight="1" thickBot="1" x14ac:dyDescent="0.2">
      <c r="A3" s="347" t="s">
        <v>422</v>
      </c>
      <c r="B3" s="608"/>
      <c r="C3" s="608"/>
      <c r="D3" s="608"/>
      <c r="E3" s="608"/>
      <c r="F3" s="608"/>
      <c r="G3" s="608"/>
      <c r="H3" s="608"/>
      <c r="I3" s="347"/>
      <c r="J3" s="348" t="s">
        <v>423</v>
      </c>
    </row>
    <row r="4" spans="1:14" ht="20.100000000000001" customHeight="1" x14ac:dyDescent="0.15">
      <c r="A4" s="779" t="s">
        <v>424</v>
      </c>
      <c r="B4" s="781" t="s">
        <v>425</v>
      </c>
      <c r="C4" s="783" t="s">
        <v>426</v>
      </c>
      <c r="D4" s="784"/>
      <c r="E4" s="785"/>
      <c r="F4" s="579" t="s">
        <v>427</v>
      </c>
      <c r="G4" s="783" t="s">
        <v>19</v>
      </c>
      <c r="H4" s="785"/>
      <c r="I4" s="783" t="s">
        <v>19</v>
      </c>
      <c r="J4" s="792"/>
    </row>
    <row r="5" spans="1:14" ht="20.100000000000001" customHeight="1" x14ac:dyDescent="0.15">
      <c r="A5" s="780"/>
      <c r="B5" s="782"/>
      <c r="C5" s="349" t="s">
        <v>428</v>
      </c>
      <c r="D5" s="349" t="s">
        <v>429</v>
      </c>
      <c r="E5" s="349" t="s">
        <v>430</v>
      </c>
      <c r="F5" s="580" t="s">
        <v>431</v>
      </c>
      <c r="G5" s="793" t="s">
        <v>23</v>
      </c>
      <c r="H5" s="794"/>
      <c r="I5" s="793" t="s">
        <v>24</v>
      </c>
      <c r="J5" s="795"/>
    </row>
    <row r="6" spans="1:14" ht="17.100000000000001" customHeight="1" x14ac:dyDescent="0.15">
      <c r="A6" s="577" t="s">
        <v>680</v>
      </c>
      <c r="B6" s="558">
        <v>42504</v>
      </c>
      <c r="C6" s="559">
        <v>110106</v>
      </c>
      <c r="D6" s="559">
        <v>53971</v>
      </c>
      <c r="E6" s="559">
        <v>56135</v>
      </c>
      <c r="F6" s="127">
        <f t="shared" ref="F6:F11" si="0">ROUND(C6/B6,2)</f>
        <v>2.59</v>
      </c>
      <c r="G6" s="788">
        <v>689</v>
      </c>
      <c r="H6" s="788"/>
      <c r="I6" s="786">
        <f>G6/C6</f>
        <v>6.2576063066499552E-3</v>
      </c>
      <c r="J6" s="787"/>
      <c r="L6" s="351"/>
      <c r="M6" s="351"/>
      <c r="N6" s="351"/>
    </row>
    <row r="7" spans="1:14" ht="17.100000000000001" customHeight="1" x14ac:dyDescent="0.15">
      <c r="A7" s="577">
        <v>21</v>
      </c>
      <c r="B7" s="125">
        <v>43263</v>
      </c>
      <c r="C7" s="126">
        <v>110989</v>
      </c>
      <c r="D7" s="126">
        <v>54426</v>
      </c>
      <c r="E7" s="126">
        <v>56563</v>
      </c>
      <c r="F7" s="127">
        <f t="shared" si="0"/>
        <v>2.57</v>
      </c>
      <c r="G7" s="789">
        <f t="shared" ref="G7:G12" si="1">C7-C6</f>
        <v>883</v>
      </c>
      <c r="H7" s="789"/>
      <c r="I7" s="790">
        <f>G7/C7</f>
        <v>7.9557433619547886E-3</v>
      </c>
      <c r="J7" s="791"/>
      <c r="L7" s="351"/>
      <c r="M7" s="351"/>
      <c r="N7" s="351"/>
    </row>
    <row r="8" spans="1:14" ht="17.100000000000001" customHeight="1" x14ac:dyDescent="0.15">
      <c r="A8" s="577">
        <v>22</v>
      </c>
      <c r="B8" s="125">
        <v>43849</v>
      </c>
      <c r="C8" s="126">
        <v>111595</v>
      </c>
      <c r="D8" s="126">
        <v>54612</v>
      </c>
      <c r="E8" s="126">
        <v>56983</v>
      </c>
      <c r="F8" s="127">
        <f t="shared" si="0"/>
        <v>2.54</v>
      </c>
      <c r="G8" s="789">
        <f t="shared" si="1"/>
        <v>606</v>
      </c>
      <c r="H8" s="789"/>
      <c r="I8" s="790">
        <f t="shared" ref="I8:I13" si="2">G8/C8</f>
        <v>5.4303508221694519E-3</v>
      </c>
      <c r="J8" s="791"/>
      <c r="L8" s="351"/>
      <c r="M8" s="351"/>
      <c r="N8" s="351"/>
    </row>
    <row r="9" spans="1:14" ht="17.100000000000001" customHeight="1" x14ac:dyDescent="0.15">
      <c r="A9" s="577">
        <v>23</v>
      </c>
      <c r="B9" s="125">
        <v>44675</v>
      </c>
      <c r="C9" s="126">
        <v>112277</v>
      </c>
      <c r="D9" s="126">
        <v>54927</v>
      </c>
      <c r="E9" s="126">
        <v>57350</v>
      </c>
      <c r="F9" s="127">
        <f t="shared" si="0"/>
        <v>2.5099999999999998</v>
      </c>
      <c r="G9" s="789">
        <f t="shared" si="1"/>
        <v>682</v>
      </c>
      <c r="H9" s="789"/>
      <c r="I9" s="790">
        <f t="shared" si="2"/>
        <v>6.074262760850397E-3</v>
      </c>
      <c r="J9" s="791"/>
      <c r="L9" s="351"/>
      <c r="M9" s="351"/>
      <c r="N9" s="351"/>
    </row>
    <row r="10" spans="1:14" ht="17.100000000000001" customHeight="1" x14ac:dyDescent="0.15">
      <c r="A10" s="577">
        <v>24</v>
      </c>
      <c r="B10" s="125">
        <v>45783</v>
      </c>
      <c r="C10" s="126">
        <v>113745</v>
      </c>
      <c r="D10" s="126">
        <v>55780</v>
      </c>
      <c r="E10" s="126">
        <v>57965</v>
      </c>
      <c r="F10" s="127">
        <f t="shared" si="0"/>
        <v>2.48</v>
      </c>
      <c r="G10" s="789">
        <f t="shared" si="1"/>
        <v>1468</v>
      </c>
      <c r="H10" s="789"/>
      <c r="I10" s="790">
        <f t="shared" si="2"/>
        <v>1.2906061804914501E-2</v>
      </c>
      <c r="J10" s="791"/>
      <c r="L10" s="351"/>
      <c r="M10" s="351"/>
      <c r="N10" s="351"/>
    </row>
    <row r="11" spans="1:14" ht="17.100000000000001" customHeight="1" x14ac:dyDescent="0.15">
      <c r="A11" s="577">
        <v>25</v>
      </c>
      <c r="B11" s="125">
        <v>46416</v>
      </c>
      <c r="C11" s="126">
        <v>114217</v>
      </c>
      <c r="D11" s="126">
        <v>55949</v>
      </c>
      <c r="E11" s="126">
        <v>58268</v>
      </c>
      <c r="F11" s="127">
        <f t="shared" si="0"/>
        <v>2.46</v>
      </c>
      <c r="G11" s="789">
        <f t="shared" si="1"/>
        <v>472</v>
      </c>
      <c r="H11" s="789"/>
      <c r="I11" s="790">
        <f t="shared" si="2"/>
        <v>4.13248465639966E-3</v>
      </c>
      <c r="J11" s="791"/>
      <c r="L11" s="351"/>
      <c r="M11" s="351"/>
      <c r="N11" s="351"/>
    </row>
    <row r="12" spans="1:14" ht="17.100000000000001" customHeight="1" x14ac:dyDescent="0.15">
      <c r="A12" s="577">
        <v>26</v>
      </c>
      <c r="B12" s="125">
        <v>46953</v>
      </c>
      <c r="C12" s="126">
        <v>114245</v>
      </c>
      <c r="D12" s="126">
        <v>55850</v>
      </c>
      <c r="E12" s="126">
        <v>58395</v>
      </c>
      <c r="F12" s="127">
        <f>ROUND(C12/B12,2)</f>
        <v>2.4300000000000002</v>
      </c>
      <c r="G12" s="796">
        <f t="shared" si="1"/>
        <v>28</v>
      </c>
      <c r="H12" s="796"/>
      <c r="I12" s="790">
        <f t="shared" si="2"/>
        <v>2.4508731235502645E-4</v>
      </c>
      <c r="J12" s="791"/>
      <c r="L12" s="351"/>
      <c r="M12" s="351"/>
      <c r="N12" s="351"/>
    </row>
    <row r="13" spans="1:14" ht="17.100000000000001" customHeight="1" x14ac:dyDescent="0.15">
      <c r="A13" s="577">
        <v>27</v>
      </c>
      <c r="B13" s="125">
        <v>47575</v>
      </c>
      <c r="C13" s="126">
        <f>SUM(D13:E13)</f>
        <v>114165</v>
      </c>
      <c r="D13" s="126">
        <v>55729</v>
      </c>
      <c r="E13" s="126">
        <v>58436</v>
      </c>
      <c r="F13" s="127">
        <f>ROUND(C13/B13,2)</f>
        <v>2.4</v>
      </c>
      <c r="G13" s="796">
        <f>C13-C12</f>
        <v>-80</v>
      </c>
      <c r="H13" s="796"/>
      <c r="I13" s="790">
        <f t="shared" si="2"/>
        <v>-7.0074015679061005E-4</v>
      </c>
      <c r="J13" s="791"/>
      <c r="L13" s="351"/>
      <c r="M13" s="351"/>
      <c r="N13" s="351"/>
    </row>
    <row r="14" spans="1:14" ht="17.100000000000001" customHeight="1" x14ac:dyDescent="0.15">
      <c r="A14" s="577">
        <v>28</v>
      </c>
      <c r="B14" s="125">
        <v>48216</v>
      </c>
      <c r="C14" s="126">
        <f>SUM(D14:E14)</f>
        <v>114337</v>
      </c>
      <c r="D14" s="126">
        <v>55787</v>
      </c>
      <c r="E14" s="126">
        <v>58550</v>
      </c>
      <c r="F14" s="127">
        <f>ROUND(C14/B14,2)</f>
        <v>2.37</v>
      </c>
      <c r="G14" s="796">
        <f>C14-C13</f>
        <v>172</v>
      </c>
      <c r="H14" s="796"/>
      <c r="I14" s="790">
        <f>G14/C14</f>
        <v>1.5043249341857841E-3</v>
      </c>
      <c r="J14" s="791"/>
      <c r="L14" s="351"/>
      <c r="M14" s="351"/>
      <c r="N14" s="351"/>
    </row>
    <row r="15" spans="1:14" ht="17.100000000000001" customHeight="1" thickBot="1" x14ac:dyDescent="0.2">
      <c r="A15" s="567">
        <v>29</v>
      </c>
      <c r="B15" s="571">
        <v>48916</v>
      </c>
      <c r="C15" s="571">
        <f>SUM(D15:E15)</f>
        <v>114372</v>
      </c>
      <c r="D15" s="571">
        <v>55782</v>
      </c>
      <c r="E15" s="571">
        <v>58590</v>
      </c>
      <c r="F15" s="568">
        <f>ROUND(C15/B15,2)</f>
        <v>2.34</v>
      </c>
      <c r="G15" s="798">
        <f>C15-C14</f>
        <v>35</v>
      </c>
      <c r="H15" s="798"/>
      <c r="I15" s="799">
        <f>G15/C15</f>
        <v>3.0601895568845521E-4</v>
      </c>
      <c r="J15" s="800"/>
      <c r="L15" s="351"/>
      <c r="M15" s="351"/>
      <c r="N15" s="351"/>
    </row>
    <row r="16" spans="1:14" ht="17.100000000000001" customHeight="1" x14ac:dyDescent="0.15">
      <c r="A16" s="352" t="s">
        <v>543</v>
      </c>
      <c r="B16" s="608"/>
      <c r="C16" s="608"/>
      <c r="D16" s="608"/>
      <c r="E16" s="608"/>
      <c r="F16" s="608"/>
      <c r="G16" s="608"/>
      <c r="H16" s="608"/>
      <c r="I16" s="608"/>
      <c r="J16" s="348" t="s">
        <v>657</v>
      </c>
      <c r="L16" s="351"/>
      <c r="M16" s="351"/>
      <c r="N16" s="351"/>
    </row>
    <row r="17" spans="1:15" ht="15" customHeight="1" x14ac:dyDescent="0.15">
      <c r="A17" s="347"/>
      <c r="B17" s="608"/>
      <c r="C17" s="608"/>
      <c r="D17" s="608"/>
      <c r="E17" s="608"/>
      <c r="F17" s="608"/>
      <c r="G17" s="608"/>
      <c r="H17" s="608"/>
      <c r="I17" s="608"/>
      <c r="J17" s="608"/>
      <c r="L17" s="351"/>
      <c r="M17" s="351"/>
      <c r="N17" s="351"/>
    </row>
    <row r="18" spans="1:15" ht="15" customHeight="1" thickBot="1" x14ac:dyDescent="0.2">
      <c r="A18" s="347" t="s">
        <v>432</v>
      </c>
      <c r="B18" s="608"/>
      <c r="C18" s="608"/>
      <c r="D18" s="608"/>
      <c r="E18" s="608"/>
      <c r="F18" s="608"/>
      <c r="G18" s="608"/>
      <c r="H18" s="608"/>
      <c r="I18" s="608"/>
      <c r="J18" s="348" t="s">
        <v>423</v>
      </c>
      <c r="L18" s="351"/>
      <c r="M18" s="351"/>
    </row>
    <row r="19" spans="1:15" ht="15" customHeight="1" x14ac:dyDescent="0.15">
      <c r="A19" s="779" t="s">
        <v>433</v>
      </c>
      <c r="B19" s="781" t="s">
        <v>425</v>
      </c>
      <c r="C19" s="783" t="s">
        <v>434</v>
      </c>
      <c r="D19" s="784"/>
      <c r="E19" s="785"/>
      <c r="F19" s="579" t="s">
        <v>435</v>
      </c>
      <c r="G19" s="783" t="s">
        <v>19</v>
      </c>
      <c r="H19" s="785"/>
      <c r="I19" s="783" t="s">
        <v>19</v>
      </c>
      <c r="J19" s="792"/>
      <c r="K19" s="352"/>
      <c r="L19" s="351"/>
      <c r="M19" s="351"/>
    </row>
    <row r="20" spans="1:15" ht="20.100000000000001" customHeight="1" x14ac:dyDescent="0.15">
      <c r="A20" s="780"/>
      <c r="B20" s="782"/>
      <c r="C20" s="349" t="s">
        <v>436</v>
      </c>
      <c r="D20" s="349" t="s">
        <v>437</v>
      </c>
      <c r="E20" s="349" t="s">
        <v>438</v>
      </c>
      <c r="F20" s="580" t="s">
        <v>431</v>
      </c>
      <c r="G20" s="793" t="s">
        <v>23</v>
      </c>
      <c r="H20" s="794"/>
      <c r="I20" s="793" t="s">
        <v>24</v>
      </c>
      <c r="J20" s="795"/>
      <c r="K20" s="608"/>
      <c r="O20" s="351"/>
    </row>
    <row r="21" spans="1:15" ht="17.100000000000001" customHeight="1" x14ac:dyDescent="0.15">
      <c r="A21" s="577" t="s">
        <v>680</v>
      </c>
      <c r="B21" s="558">
        <v>41960</v>
      </c>
      <c r="C21" s="124">
        <f t="shared" ref="C21:C24" si="3">D21+E21</f>
        <v>109373</v>
      </c>
      <c r="D21" s="560">
        <v>53683</v>
      </c>
      <c r="E21" s="559">
        <v>55690</v>
      </c>
      <c r="F21" s="127">
        <f t="shared" ref="F21:F27" si="4">ROUND(C21/B21,2)</f>
        <v>2.61</v>
      </c>
      <c r="G21" s="812">
        <v>666</v>
      </c>
      <c r="H21" s="812"/>
      <c r="I21" s="786">
        <f t="shared" ref="I21:I25" si="5">G21/C21</f>
        <v>6.0892542035054353E-3</v>
      </c>
      <c r="J21" s="787"/>
    </row>
    <row r="22" spans="1:15" ht="17.100000000000001" customHeight="1" x14ac:dyDescent="0.15">
      <c r="A22" s="577">
        <v>21</v>
      </c>
      <c r="B22" s="125">
        <v>42695</v>
      </c>
      <c r="C22" s="124">
        <f t="shared" si="3"/>
        <v>110285</v>
      </c>
      <c r="D22" s="124">
        <v>54111</v>
      </c>
      <c r="E22" s="126">
        <v>56174</v>
      </c>
      <c r="F22" s="127">
        <f t="shared" si="4"/>
        <v>2.58</v>
      </c>
      <c r="G22" s="797">
        <f>C22-C21</f>
        <v>912</v>
      </c>
      <c r="H22" s="797"/>
      <c r="I22" s="790">
        <f t="shared" si="5"/>
        <v>8.2694836106451466E-3</v>
      </c>
      <c r="J22" s="791"/>
    </row>
    <row r="23" spans="1:15" ht="17.100000000000001" customHeight="1" x14ac:dyDescent="0.15">
      <c r="A23" s="577">
        <v>22</v>
      </c>
      <c r="B23" s="125">
        <v>43388</v>
      </c>
      <c r="C23" s="124">
        <f t="shared" si="3"/>
        <v>110894</v>
      </c>
      <c r="D23" s="124">
        <v>54406</v>
      </c>
      <c r="E23" s="126">
        <v>56488</v>
      </c>
      <c r="F23" s="127">
        <f t="shared" si="4"/>
        <v>2.56</v>
      </c>
      <c r="G23" s="797">
        <f t="shared" ref="G23:G25" si="6">C23-C22</f>
        <v>609</v>
      </c>
      <c r="H23" s="797"/>
      <c r="I23" s="790">
        <f t="shared" si="5"/>
        <v>5.4917308420653959E-3</v>
      </c>
      <c r="J23" s="791"/>
    </row>
    <row r="24" spans="1:15" ht="17.100000000000001" customHeight="1" x14ac:dyDescent="0.15">
      <c r="A24" s="577">
        <v>23</v>
      </c>
      <c r="B24" s="125">
        <v>43957</v>
      </c>
      <c r="C24" s="124">
        <f t="shared" si="3"/>
        <v>111463</v>
      </c>
      <c r="D24" s="124">
        <v>54524</v>
      </c>
      <c r="E24" s="126">
        <v>56939</v>
      </c>
      <c r="F24" s="127">
        <f t="shared" si="4"/>
        <v>2.54</v>
      </c>
      <c r="G24" s="797">
        <f t="shared" si="6"/>
        <v>569</v>
      </c>
      <c r="H24" s="797"/>
      <c r="I24" s="790">
        <f t="shared" si="5"/>
        <v>5.1048329939082926E-3</v>
      </c>
      <c r="J24" s="791"/>
    </row>
    <row r="25" spans="1:15" ht="17.100000000000001" customHeight="1" x14ac:dyDescent="0.15">
      <c r="A25" s="577">
        <v>24</v>
      </c>
      <c r="B25" s="125">
        <v>44915</v>
      </c>
      <c r="C25" s="126">
        <f>SUM(D25,E25)</f>
        <v>112413</v>
      </c>
      <c r="D25" s="124">
        <v>54970</v>
      </c>
      <c r="E25" s="126">
        <v>57443</v>
      </c>
      <c r="F25" s="127">
        <f t="shared" si="4"/>
        <v>2.5</v>
      </c>
      <c r="G25" s="797">
        <f t="shared" si="6"/>
        <v>950</v>
      </c>
      <c r="H25" s="797"/>
      <c r="I25" s="790">
        <f t="shared" si="5"/>
        <v>8.4509798688763762E-3</v>
      </c>
      <c r="J25" s="791"/>
    </row>
    <row r="26" spans="1:15" ht="17.100000000000001" customHeight="1" x14ac:dyDescent="0.15">
      <c r="A26" s="577">
        <v>25</v>
      </c>
      <c r="B26" s="125">
        <v>45949</v>
      </c>
      <c r="C26" s="126">
        <f>SUM(D26,E26)</f>
        <v>113752</v>
      </c>
      <c r="D26" s="126">
        <v>55707</v>
      </c>
      <c r="E26" s="126">
        <v>58045</v>
      </c>
      <c r="F26" s="127">
        <f t="shared" si="4"/>
        <v>2.48</v>
      </c>
      <c r="G26" s="797">
        <f>C26-C25</f>
        <v>1339</v>
      </c>
      <c r="H26" s="797"/>
      <c r="I26" s="790">
        <f>G26/C26</f>
        <v>1.1771221604894858E-2</v>
      </c>
      <c r="J26" s="791"/>
    </row>
    <row r="27" spans="1:15" ht="17.100000000000001" customHeight="1" x14ac:dyDescent="0.15">
      <c r="A27" s="577">
        <v>26</v>
      </c>
      <c r="B27" s="125">
        <v>46432</v>
      </c>
      <c r="C27" s="126">
        <f>SUM(D27,E27)</f>
        <v>113893</v>
      </c>
      <c r="D27" s="126">
        <v>55731</v>
      </c>
      <c r="E27" s="126">
        <v>58162</v>
      </c>
      <c r="F27" s="127">
        <f t="shared" si="4"/>
        <v>2.4500000000000002</v>
      </c>
      <c r="G27" s="797">
        <f>C27-C26</f>
        <v>141</v>
      </c>
      <c r="H27" s="797"/>
      <c r="I27" s="790">
        <f>G27/C27</f>
        <v>1.2380040915596217E-3</v>
      </c>
      <c r="J27" s="791"/>
      <c r="K27" s="353"/>
      <c r="L27" s="351"/>
    </row>
    <row r="28" spans="1:15" ht="17.100000000000001" customHeight="1" x14ac:dyDescent="0.15">
      <c r="A28" s="577">
        <v>27</v>
      </c>
      <c r="B28" s="125">
        <v>47055</v>
      </c>
      <c r="C28" s="126">
        <f>SUM(D28:E28)</f>
        <v>113974</v>
      </c>
      <c r="D28" s="126">
        <v>55635</v>
      </c>
      <c r="E28" s="126">
        <v>58339</v>
      </c>
      <c r="F28" s="127">
        <f>ROUND(C28/B28,2)</f>
        <v>2.42</v>
      </c>
      <c r="G28" s="797">
        <f>+C28-C27</f>
        <v>81</v>
      </c>
      <c r="H28" s="797"/>
      <c r="I28" s="790">
        <f>G28/C28</f>
        <v>7.1068840261814098E-4</v>
      </c>
      <c r="J28" s="791"/>
    </row>
    <row r="29" spans="1:15" ht="17.100000000000001" customHeight="1" x14ac:dyDescent="0.15">
      <c r="A29" s="577">
        <v>28</v>
      </c>
      <c r="B29" s="125">
        <v>47384</v>
      </c>
      <c r="C29" s="126">
        <f>SUM(D29:E29)</f>
        <v>113580</v>
      </c>
      <c r="D29" s="126">
        <v>55348</v>
      </c>
      <c r="E29" s="126">
        <v>58232</v>
      </c>
      <c r="F29" s="127">
        <f>ROUND(C29/B29,2)</f>
        <v>2.4</v>
      </c>
      <c r="G29" s="811">
        <f>+C29-C28</f>
        <v>-394</v>
      </c>
      <c r="H29" s="811"/>
      <c r="I29" s="790">
        <f>G29/C29</f>
        <v>-3.4689205846099667E-3</v>
      </c>
      <c r="J29" s="791"/>
    </row>
    <row r="30" spans="1:15" ht="17.100000000000001" customHeight="1" thickBot="1" x14ac:dyDescent="0.2">
      <c r="A30" s="567">
        <v>29</v>
      </c>
      <c r="B30" s="571">
        <v>48100</v>
      </c>
      <c r="C30" s="571">
        <f>SUM(D30:E30)</f>
        <v>113578</v>
      </c>
      <c r="D30" s="571">
        <v>55347</v>
      </c>
      <c r="E30" s="571">
        <v>58231</v>
      </c>
      <c r="F30" s="568">
        <f>ROUND(C30/B30,2)</f>
        <v>2.36</v>
      </c>
      <c r="G30" s="810">
        <f>+C30-C29</f>
        <v>-2</v>
      </c>
      <c r="H30" s="810"/>
      <c r="I30" s="799">
        <f>G30/C30</f>
        <v>-1.7609044005000968E-5</v>
      </c>
      <c r="J30" s="800"/>
    </row>
    <row r="31" spans="1:15" ht="17.100000000000001" customHeight="1" x14ac:dyDescent="0.15">
      <c r="B31" s="608"/>
      <c r="C31" s="608"/>
      <c r="D31" s="608"/>
      <c r="E31" s="608"/>
      <c r="F31" s="608"/>
      <c r="G31" s="608"/>
      <c r="H31" s="608"/>
      <c r="I31" s="608"/>
      <c r="J31" s="348" t="s">
        <v>657</v>
      </c>
    </row>
    <row r="32" spans="1:15" ht="17.100000000000001" customHeight="1" x14ac:dyDescent="0.15">
      <c r="A32" s="347" t="s">
        <v>27</v>
      </c>
      <c r="B32" s="608"/>
      <c r="C32" s="608"/>
      <c r="D32" s="608"/>
      <c r="E32" s="608"/>
      <c r="F32" s="608"/>
      <c r="G32" s="608"/>
      <c r="H32" s="608"/>
      <c r="I32" s="608"/>
      <c r="J32" s="608"/>
      <c r="K32" s="612">
        <f>+G29/C28</f>
        <v>-3.4569287732289819E-3</v>
      </c>
    </row>
    <row r="33" spans="1:10" ht="15" customHeight="1" thickBot="1" x14ac:dyDescent="0.2">
      <c r="A33" s="347" t="s">
        <v>439</v>
      </c>
      <c r="B33" s="608"/>
      <c r="C33" s="608"/>
      <c r="D33" s="608"/>
      <c r="E33" s="608"/>
      <c r="F33" s="608"/>
      <c r="G33" s="608"/>
      <c r="H33" s="608"/>
      <c r="I33" s="608"/>
      <c r="J33" s="348" t="s">
        <v>440</v>
      </c>
    </row>
    <row r="34" spans="1:10" ht="15" customHeight="1" x14ac:dyDescent="0.15">
      <c r="A34" s="779" t="s">
        <v>441</v>
      </c>
      <c r="B34" s="802" t="s">
        <v>442</v>
      </c>
      <c r="C34" s="803"/>
      <c r="D34" s="804"/>
      <c r="E34" s="802" t="s">
        <v>443</v>
      </c>
      <c r="F34" s="803"/>
      <c r="G34" s="804"/>
      <c r="H34" s="802" t="s">
        <v>444</v>
      </c>
      <c r="I34" s="803"/>
      <c r="J34" s="805"/>
    </row>
    <row r="35" spans="1:10" ht="15" customHeight="1" x14ac:dyDescent="0.15">
      <c r="A35" s="801"/>
      <c r="B35" s="806" t="s">
        <v>445</v>
      </c>
      <c r="C35" s="807"/>
      <c r="D35" s="808"/>
      <c r="E35" s="806" t="s">
        <v>446</v>
      </c>
      <c r="F35" s="807"/>
      <c r="G35" s="808"/>
      <c r="H35" s="806" t="s">
        <v>447</v>
      </c>
      <c r="I35" s="807"/>
      <c r="J35" s="809"/>
    </row>
    <row r="36" spans="1:10" ht="20.100000000000001" customHeight="1" x14ac:dyDescent="0.15">
      <c r="A36" s="780"/>
      <c r="B36" s="349" t="s">
        <v>448</v>
      </c>
      <c r="C36" s="349" t="s">
        <v>449</v>
      </c>
      <c r="D36" s="349" t="s">
        <v>450</v>
      </c>
      <c r="E36" s="349" t="s">
        <v>448</v>
      </c>
      <c r="F36" s="349" t="s">
        <v>449</v>
      </c>
      <c r="G36" s="349" t="s">
        <v>450</v>
      </c>
      <c r="H36" s="581" t="s">
        <v>448</v>
      </c>
      <c r="I36" s="349" t="s">
        <v>449</v>
      </c>
      <c r="J36" s="354" t="s">
        <v>450</v>
      </c>
    </row>
    <row r="37" spans="1:10" ht="20.100000000000001" customHeight="1" x14ac:dyDescent="0.15">
      <c r="A37" s="577" t="s">
        <v>680</v>
      </c>
      <c r="B37" s="128">
        <f t="shared" ref="B37:B44" si="7">SUM(C37:D37)</f>
        <v>21675</v>
      </c>
      <c r="C37" s="130">
        <v>11185</v>
      </c>
      <c r="D37" s="130">
        <v>10490</v>
      </c>
      <c r="E37" s="129">
        <f t="shared" ref="E37:E40" si="8">SUM(F37:G37)</f>
        <v>73165</v>
      </c>
      <c r="F37" s="130">
        <v>36164</v>
      </c>
      <c r="G37" s="130">
        <v>37001</v>
      </c>
      <c r="H37" s="129">
        <f t="shared" ref="H37:H44" si="9">SUM(I37:J37)</f>
        <v>14533</v>
      </c>
      <c r="I37" s="561">
        <v>6334</v>
      </c>
      <c r="J37" s="562">
        <v>8199</v>
      </c>
    </row>
    <row r="38" spans="1:10" ht="20.100000000000001" customHeight="1" x14ac:dyDescent="0.15">
      <c r="A38" s="577">
        <v>21</v>
      </c>
      <c r="B38" s="128">
        <f t="shared" si="7"/>
        <v>21678</v>
      </c>
      <c r="C38" s="130">
        <v>11210</v>
      </c>
      <c r="D38" s="130">
        <v>10468</v>
      </c>
      <c r="E38" s="129">
        <f t="shared" si="8"/>
        <v>73440</v>
      </c>
      <c r="F38" s="130">
        <v>36275</v>
      </c>
      <c r="G38" s="130">
        <v>37165</v>
      </c>
      <c r="H38" s="578">
        <f t="shared" si="9"/>
        <v>15167</v>
      </c>
      <c r="I38" s="375">
        <v>6626</v>
      </c>
      <c r="J38" s="523">
        <v>8541</v>
      </c>
    </row>
    <row r="39" spans="1:10" ht="17.100000000000001" customHeight="1" x14ac:dyDescent="0.15">
      <c r="A39" s="577">
        <v>22</v>
      </c>
      <c r="B39" s="342">
        <f t="shared" si="7"/>
        <v>21673</v>
      </c>
      <c r="C39" s="130">
        <v>11221</v>
      </c>
      <c r="D39" s="130">
        <v>10452</v>
      </c>
      <c r="E39" s="130">
        <f t="shared" si="8"/>
        <v>73695</v>
      </c>
      <c r="F39" s="130">
        <v>36401</v>
      </c>
      <c r="G39" s="130">
        <v>37294</v>
      </c>
      <c r="H39" s="130">
        <f t="shared" si="9"/>
        <v>15526</v>
      </c>
      <c r="I39" s="375">
        <v>6784</v>
      </c>
      <c r="J39" s="523">
        <v>8742</v>
      </c>
    </row>
    <row r="40" spans="1:10" ht="17.100000000000001" customHeight="1" x14ac:dyDescent="0.15">
      <c r="A40" s="577">
        <v>23</v>
      </c>
      <c r="B40" s="342">
        <f t="shared" si="7"/>
        <v>21601</v>
      </c>
      <c r="C40" s="130">
        <v>11119</v>
      </c>
      <c r="D40" s="130">
        <v>10482</v>
      </c>
      <c r="E40" s="130">
        <f t="shared" si="8"/>
        <v>74384</v>
      </c>
      <c r="F40" s="130">
        <v>36650</v>
      </c>
      <c r="G40" s="130">
        <v>37734</v>
      </c>
      <c r="H40" s="129">
        <f t="shared" si="9"/>
        <v>15478</v>
      </c>
      <c r="I40" s="375">
        <v>6755</v>
      </c>
      <c r="J40" s="523">
        <v>8723</v>
      </c>
    </row>
    <row r="41" spans="1:10" ht="17.100000000000001" customHeight="1" x14ac:dyDescent="0.15">
      <c r="A41" s="577">
        <v>24</v>
      </c>
      <c r="B41" s="130">
        <f t="shared" si="7"/>
        <v>21691</v>
      </c>
      <c r="C41" s="130">
        <v>11139</v>
      </c>
      <c r="D41" s="130">
        <v>10552</v>
      </c>
      <c r="E41" s="130">
        <f t="shared" ref="E41:E46" si="10">SUM(F41:G41)</f>
        <v>74876</v>
      </c>
      <c r="F41" s="130">
        <v>36934</v>
      </c>
      <c r="G41" s="130">
        <v>37942</v>
      </c>
      <c r="H41" s="129">
        <f t="shared" si="9"/>
        <v>15846</v>
      </c>
      <c r="I41" s="375">
        <v>6897</v>
      </c>
      <c r="J41" s="523">
        <v>8949</v>
      </c>
    </row>
    <row r="42" spans="1:10" ht="17.100000000000001" customHeight="1" x14ac:dyDescent="0.15">
      <c r="A42" s="577">
        <v>25</v>
      </c>
      <c r="B42" s="130">
        <f>SUM(C42:D42)</f>
        <v>21652</v>
      </c>
      <c r="C42" s="130">
        <v>11106</v>
      </c>
      <c r="D42" s="130">
        <v>10546</v>
      </c>
      <c r="E42" s="130">
        <f t="shared" si="10"/>
        <v>75290</v>
      </c>
      <c r="F42" s="130">
        <v>37184</v>
      </c>
      <c r="G42" s="130">
        <v>38106</v>
      </c>
      <c r="H42" s="129">
        <f t="shared" si="9"/>
        <v>16810</v>
      </c>
      <c r="I42" s="375">
        <v>7417</v>
      </c>
      <c r="J42" s="523">
        <v>9393</v>
      </c>
    </row>
    <row r="43" spans="1:10" ht="17.100000000000001" customHeight="1" x14ac:dyDescent="0.15">
      <c r="A43" s="577">
        <v>26</v>
      </c>
      <c r="B43" s="342">
        <f>SUM(C43:D43)</f>
        <v>21487</v>
      </c>
      <c r="C43" s="130">
        <v>10989</v>
      </c>
      <c r="D43" s="130">
        <v>10498</v>
      </c>
      <c r="E43" s="130">
        <f t="shared" si="10"/>
        <v>74740</v>
      </c>
      <c r="F43" s="130">
        <v>36953</v>
      </c>
      <c r="G43" s="130">
        <v>37787</v>
      </c>
      <c r="H43" s="129">
        <f t="shared" si="9"/>
        <v>17666</v>
      </c>
      <c r="I43" s="375">
        <v>7789</v>
      </c>
      <c r="J43" s="523">
        <v>9877</v>
      </c>
    </row>
    <row r="44" spans="1:10" ht="17.100000000000001" customHeight="1" x14ac:dyDescent="0.15">
      <c r="A44" s="577">
        <v>27</v>
      </c>
      <c r="B44" s="130">
        <f t="shared" si="7"/>
        <v>21244</v>
      </c>
      <c r="C44" s="130">
        <v>10846</v>
      </c>
      <c r="D44" s="130">
        <v>10398</v>
      </c>
      <c r="E44" s="130">
        <f t="shared" si="10"/>
        <v>74167</v>
      </c>
      <c r="F44" s="130">
        <v>36590</v>
      </c>
      <c r="G44" s="130">
        <v>37577</v>
      </c>
      <c r="H44" s="129">
        <f t="shared" si="9"/>
        <v>18563</v>
      </c>
      <c r="I44" s="375">
        <v>8199</v>
      </c>
      <c r="J44" s="523">
        <v>10364</v>
      </c>
    </row>
    <row r="45" spans="1:10" ht="17.100000000000001" customHeight="1" x14ac:dyDescent="0.15">
      <c r="A45" s="577">
        <v>28</v>
      </c>
      <c r="B45" s="342">
        <f>SUM(C45:D45)</f>
        <v>20914</v>
      </c>
      <c r="C45" s="130">
        <v>10667</v>
      </c>
      <c r="D45" s="130">
        <v>10247</v>
      </c>
      <c r="E45" s="130">
        <f t="shared" si="10"/>
        <v>73128</v>
      </c>
      <c r="F45" s="130">
        <v>36040</v>
      </c>
      <c r="G45" s="130">
        <v>37088</v>
      </c>
      <c r="H45" s="129">
        <f>SUM(I45:J45)</f>
        <v>19538</v>
      </c>
      <c r="I45" s="375">
        <v>8641</v>
      </c>
      <c r="J45" s="523">
        <v>10897</v>
      </c>
    </row>
    <row r="46" spans="1:10" ht="17.100000000000001" customHeight="1" thickBot="1" x14ac:dyDescent="0.2">
      <c r="A46" s="567">
        <v>29</v>
      </c>
      <c r="B46" s="569">
        <f>SUM(C46:D46)</f>
        <v>20585</v>
      </c>
      <c r="C46" s="569">
        <v>10485</v>
      </c>
      <c r="D46" s="569">
        <v>10100</v>
      </c>
      <c r="E46" s="569">
        <f t="shared" si="10"/>
        <v>72592</v>
      </c>
      <c r="F46" s="569">
        <v>35836</v>
      </c>
      <c r="G46" s="569">
        <v>36756</v>
      </c>
      <c r="H46" s="570">
        <f>SUM(I46:J46)</f>
        <v>20401</v>
      </c>
      <c r="I46" s="609">
        <v>9026</v>
      </c>
      <c r="J46" s="610">
        <v>11375</v>
      </c>
    </row>
    <row r="47" spans="1:10" ht="17.100000000000001" customHeight="1" x14ac:dyDescent="0.15">
      <c r="A47" s="611"/>
      <c r="B47" s="608"/>
      <c r="C47" s="608"/>
      <c r="D47" s="608"/>
      <c r="E47" s="608"/>
      <c r="F47" s="608"/>
      <c r="G47" s="608"/>
      <c r="H47" s="608"/>
      <c r="I47" s="608"/>
      <c r="J47" s="348" t="s">
        <v>657</v>
      </c>
    </row>
    <row r="50" ht="15" customHeight="1" x14ac:dyDescent="0.15"/>
  </sheetData>
  <sheetProtection sheet="1" objects="1" scenarios="1"/>
  <mergeCells count="61">
    <mergeCell ref="G25:H25"/>
    <mergeCell ref="I25:J25"/>
    <mergeCell ref="G24:H24"/>
    <mergeCell ref="G21:H21"/>
    <mergeCell ref="G22:H22"/>
    <mergeCell ref="G30:H30"/>
    <mergeCell ref="I30:J30"/>
    <mergeCell ref="G29:H29"/>
    <mergeCell ref="I29:J29"/>
    <mergeCell ref="G28:H28"/>
    <mergeCell ref="I28:J28"/>
    <mergeCell ref="A34:A36"/>
    <mergeCell ref="B34:D34"/>
    <mergeCell ref="E34:G34"/>
    <mergeCell ref="H34:J34"/>
    <mergeCell ref="B35:D35"/>
    <mergeCell ref="E35:G35"/>
    <mergeCell ref="H35:J35"/>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7:H7"/>
    <mergeCell ref="I7:J7"/>
    <mergeCell ref="I4:J4"/>
    <mergeCell ref="G5:H5"/>
    <mergeCell ref="I5:J5"/>
    <mergeCell ref="A4:A5"/>
    <mergeCell ref="B4:B5"/>
    <mergeCell ref="C4:E4"/>
    <mergeCell ref="G4:H4"/>
    <mergeCell ref="I6:J6"/>
    <mergeCell ref="G6:H6"/>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ignoredErrors>
    <ignoredError sqref="B43"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5536"/>
  <sheetViews>
    <sheetView view="pageBreakPreview" topLeftCell="A5" zoomScale="70" zoomScaleNormal="120" zoomScaleSheetLayoutView="70" workbookViewId="0">
      <selection activeCell="K250" sqref="K250"/>
    </sheetView>
  </sheetViews>
  <sheetFormatPr defaultRowHeight="15" customHeight="1" x14ac:dyDescent="0.15"/>
  <cols>
    <col min="1" max="1" width="12.25" style="5" customWidth="1"/>
    <col min="2" max="7" width="13.25" style="5" customWidth="1"/>
    <col min="8" max="8" width="11.125" style="5" bestFit="1" customWidth="1"/>
    <col min="9" max="16384" width="9" style="5"/>
  </cols>
  <sheetData>
    <row r="1" spans="1:9" ht="5.0999999999999996" customHeight="1" x14ac:dyDescent="0.15">
      <c r="A1" s="61"/>
      <c r="B1" s="936"/>
      <c r="C1" s="936"/>
      <c r="D1" s="936"/>
      <c r="E1" s="936"/>
      <c r="F1" s="936"/>
      <c r="G1" s="936"/>
    </row>
    <row r="2" spans="1:9" ht="15" customHeight="1" x14ac:dyDescent="0.15">
      <c r="A2" s="61" t="s">
        <v>282</v>
      </c>
      <c r="B2" s="44"/>
      <c r="C2" s="44"/>
      <c r="D2" s="44"/>
      <c r="E2" s="44"/>
      <c r="F2" s="44"/>
      <c r="G2" s="44"/>
    </row>
    <row r="3" spans="1:9" ht="5.0999999999999996" customHeight="1" x14ac:dyDescent="0.15">
      <c r="A3" s="61"/>
      <c r="B3" s="44"/>
      <c r="C3" s="44"/>
      <c r="D3" s="44"/>
      <c r="E3" s="44"/>
      <c r="F3" s="44"/>
      <c r="G3" s="44"/>
    </row>
    <row r="4" spans="1:9" s="62" customFormat="1" ht="129.94999999999999" customHeight="1" x14ac:dyDescent="0.15">
      <c r="A4" s="935" t="s">
        <v>665</v>
      </c>
      <c r="B4" s="935"/>
      <c r="C4" s="935"/>
      <c r="D4" s="935"/>
      <c r="E4" s="935"/>
      <c r="F4" s="935"/>
      <c r="G4" s="935"/>
    </row>
    <row r="6" spans="1:9" ht="15" customHeight="1" thickBot="1" x14ac:dyDescent="0.2">
      <c r="A6" s="13" t="s">
        <v>283</v>
      </c>
      <c r="G6" s="7" t="s">
        <v>16</v>
      </c>
    </row>
    <row r="7" spans="1:9" ht="20.100000000000001" customHeight="1" x14ac:dyDescent="0.15">
      <c r="A7" s="912" t="s">
        <v>17</v>
      </c>
      <c r="B7" s="913" t="s">
        <v>252</v>
      </c>
      <c r="C7" s="929" t="s">
        <v>284</v>
      </c>
      <c r="D7" s="929"/>
      <c r="E7" s="929"/>
      <c r="F7" s="970" t="s">
        <v>285</v>
      </c>
      <c r="G7" s="142" t="s">
        <v>286</v>
      </c>
    </row>
    <row r="8" spans="1:9" ht="20.100000000000001" customHeight="1" x14ac:dyDescent="0.15">
      <c r="A8" s="914"/>
      <c r="B8" s="915"/>
      <c r="C8" s="892"/>
      <c r="D8" s="892"/>
      <c r="E8" s="892"/>
      <c r="F8" s="971"/>
      <c r="G8" s="174" t="s">
        <v>287</v>
      </c>
    </row>
    <row r="9" spans="1:9" ht="20.100000000000001" customHeight="1" x14ac:dyDescent="0.15">
      <c r="A9" s="914"/>
      <c r="B9" s="915"/>
      <c r="C9" s="10" t="s">
        <v>88</v>
      </c>
      <c r="D9" s="10" t="s">
        <v>21</v>
      </c>
      <c r="E9" s="10" t="s">
        <v>22</v>
      </c>
      <c r="F9" s="971"/>
      <c r="G9" s="131" t="s">
        <v>288</v>
      </c>
    </row>
    <row r="10" spans="1:9" ht="15" customHeight="1" x14ac:dyDescent="0.15">
      <c r="A10" s="464"/>
      <c r="B10" s="463"/>
      <c r="C10" s="66"/>
      <c r="D10" s="66"/>
      <c r="E10" s="67"/>
      <c r="F10" s="49"/>
      <c r="G10" s="175"/>
    </row>
    <row r="11" spans="1:9" ht="18" customHeight="1" x14ac:dyDescent="0.15">
      <c r="A11" s="176" t="s">
        <v>622</v>
      </c>
      <c r="B11" s="463">
        <v>2402</v>
      </c>
      <c r="C11" s="66">
        <f>D11+E11</f>
        <v>11369</v>
      </c>
      <c r="D11" s="66">
        <v>5480</v>
      </c>
      <c r="E11" s="67">
        <v>5889</v>
      </c>
      <c r="F11" s="49">
        <f>C11/B11</f>
        <v>4.7331390507910074</v>
      </c>
      <c r="G11" s="175">
        <v>0.93</v>
      </c>
      <c r="H11" s="286"/>
    </row>
    <row r="12" spans="1:9" ht="15" customHeight="1" x14ac:dyDescent="0.15">
      <c r="A12" s="176"/>
      <c r="B12" s="463"/>
      <c r="C12" s="66"/>
      <c r="D12" s="66"/>
      <c r="E12" s="67"/>
      <c r="F12" s="49"/>
      <c r="G12" s="175"/>
    </row>
    <row r="13" spans="1:9" ht="18" customHeight="1" x14ac:dyDescent="0.15">
      <c r="A13" s="176">
        <v>15</v>
      </c>
      <c r="B13" s="463">
        <v>2323</v>
      </c>
      <c r="C13" s="66">
        <f>D13+E13</f>
        <v>11084</v>
      </c>
      <c r="D13" s="66">
        <v>5315</v>
      </c>
      <c r="E13" s="67">
        <v>5769</v>
      </c>
      <c r="F13" s="49">
        <f>C13/B13</f>
        <v>4.7714162720619884</v>
      </c>
      <c r="G13" s="175">
        <v>-2.5099999999999998</v>
      </c>
      <c r="H13" s="737">
        <f>(C13/C11)-1</f>
        <v>-2.5068167824786713E-2</v>
      </c>
      <c r="I13" s="738"/>
    </row>
    <row r="14" spans="1:9" ht="15" customHeight="1" x14ac:dyDescent="0.15">
      <c r="A14" s="176"/>
      <c r="B14" s="463"/>
      <c r="C14" s="66"/>
      <c r="D14" s="66"/>
      <c r="E14" s="67"/>
      <c r="F14" s="49"/>
      <c r="G14" s="175"/>
      <c r="H14" s="738"/>
      <c r="I14" s="738"/>
    </row>
    <row r="15" spans="1:9" ht="18" customHeight="1" x14ac:dyDescent="0.15">
      <c r="A15" s="176">
        <v>20</v>
      </c>
      <c r="B15" s="68" t="s">
        <v>289</v>
      </c>
      <c r="C15" s="67" t="s">
        <v>289</v>
      </c>
      <c r="D15" s="67" t="s">
        <v>289</v>
      </c>
      <c r="E15" s="67" t="s">
        <v>289</v>
      </c>
      <c r="F15" s="49" t="s">
        <v>289</v>
      </c>
      <c r="G15" s="175" t="s">
        <v>289</v>
      </c>
      <c r="H15" s="737" t="e">
        <f>(C15/C13)-1</f>
        <v>#VALUE!</v>
      </c>
      <c r="I15" s="738"/>
    </row>
    <row r="16" spans="1:9" ht="15" customHeight="1" x14ac:dyDescent="0.15">
      <c r="A16" s="176"/>
      <c r="B16" s="463"/>
      <c r="C16" s="66"/>
      <c r="D16" s="66"/>
      <c r="E16" s="67"/>
      <c r="F16" s="49"/>
      <c r="G16" s="175"/>
      <c r="H16" s="738"/>
      <c r="I16" s="738"/>
    </row>
    <row r="17" spans="1:9" ht="18" customHeight="1" x14ac:dyDescent="0.15">
      <c r="A17" s="176">
        <v>25</v>
      </c>
      <c r="B17" s="68" t="s">
        <v>289</v>
      </c>
      <c r="C17" s="66">
        <f>D17+E17</f>
        <v>11910</v>
      </c>
      <c r="D17" s="66">
        <v>5862</v>
      </c>
      <c r="E17" s="67">
        <v>6048</v>
      </c>
      <c r="F17" s="49" t="s">
        <v>289</v>
      </c>
      <c r="G17" s="175">
        <v>7.45</v>
      </c>
      <c r="H17" s="738"/>
      <c r="I17" s="738"/>
    </row>
    <row r="18" spans="1:9" ht="15" customHeight="1" x14ac:dyDescent="0.15">
      <c r="A18" s="176"/>
      <c r="B18" s="465"/>
      <c r="C18" s="66"/>
      <c r="D18" s="66"/>
      <c r="E18" s="67"/>
      <c r="F18" s="69"/>
      <c r="G18" s="175"/>
      <c r="H18" s="738"/>
      <c r="I18" s="738"/>
    </row>
    <row r="19" spans="1:9" ht="18" customHeight="1" x14ac:dyDescent="0.15">
      <c r="A19" s="176">
        <v>30</v>
      </c>
      <c r="B19" s="465">
        <v>4329</v>
      </c>
      <c r="C19" s="66">
        <f>D19+E19</f>
        <v>18832</v>
      </c>
      <c r="D19" s="66">
        <v>9146</v>
      </c>
      <c r="E19" s="67">
        <v>9686</v>
      </c>
      <c r="F19" s="49">
        <f>C19/B19</f>
        <v>4.3501963501963505</v>
      </c>
      <c r="G19" s="175">
        <v>58.12</v>
      </c>
      <c r="H19" s="739"/>
      <c r="I19" s="738"/>
    </row>
    <row r="20" spans="1:9" ht="15" customHeight="1" x14ac:dyDescent="0.15">
      <c r="A20" s="176"/>
      <c r="B20" s="463"/>
      <c r="C20" s="66"/>
      <c r="D20" s="66"/>
      <c r="E20" s="67"/>
      <c r="F20" s="49"/>
      <c r="G20" s="175"/>
      <c r="H20" s="739"/>
      <c r="I20" s="738"/>
    </row>
    <row r="21" spans="1:9" ht="18" customHeight="1" x14ac:dyDescent="0.15">
      <c r="A21" s="176">
        <v>35</v>
      </c>
      <c r="B21" s="463">
        <v>6134</v>
      </c>
      <c r="C21" s="66">
        <f>D21+E21</f>
        <v>24512</v>
      </c>
      <c r="D21" s="66">
        <v>11789</v>
      </c>
      <c r="E21" s="67">
        <v>12723</v>
      </c>
      <c r="F21" s="49">
        <f>C21/B21</f>
        <v>3.9960873818063254</v>
      </c>
      <c r="G21" s="175">
        <v>30.16</v>
      </c>
      <c r="H21" s="737">
        <f>(C21/C19)-1</f>
        <v>0.3016142735768903</v>
      </c>
      <c r="I21" s="738"/>
    </row>
    <row r="22" spans="1:9" ht="15" customHeight="1" x14ac:dyDescent="0.15">
      <c r="A22" s="176"/>
      <c r="B22" s="463"/>
      <c r="C22" s="66"/>
      <c r="D22" s="66"/>
      <c r="E22" s="67"/>
      <c r="F22" s="49"/>
      <c r="G22" s="175"/>
      <c r="H22" s="739"/>
      <c r="I22" s="738"/>
    </row>
    <row r="23" spans="1:9" ht="18" customHeight="1" x14ac:dyDescent="0.15">
      <c r="A23" s="176">
        <v>40</v>
      </c>
      <c r="B23" s="463">
        <v>7266</v>
      </c>
      <c r="C23" s="66">
        <f>D23+E23</f>
        <v>30821</v>
      </c>
      <c r="D23" s="66">
        <v>14891</v>
      </c>
      <c r="E23" s="67">
        <v>15930</v>
      </c>
      <c r="F23" s="49">
        <f>C23/B23</f>
        <v>4.2418111753371868</v>
      </c>
      <c r="G23" s="175">
        <v>25.74</v>
      </c>
      <c r="H23" s="737">
        <f>(C23/C21)-1</f>
        <v>0.257384138381201</v>
      </c>
      <c r="I23" s="738"/>
    </row>
    <row r="24" spans="1:9" ht="15" customHeight="1" x14ac:dyDescent="0.15">
      <c r="A24" s="176"/>
      <c r="B24" s="463"/>
      <c r="C24" s="66"/>
      <c r="D24" s="66"/>
      <c r="E24" s="67"/>
      <c r="F24" s="49"/>
      <c r="G24" s="175"/>
      <c r="H24" s="739"/>
      <c r="I24" s="738"/>
    </row>
    <row r="25" spans="1:9" ht="18" customHeight="1" x14ac:dyDescent="0.15">
      <c r="A25" s="176">
        <v>45</v>
      </c>
      <c r="B25" s="463">
        <v>10085</v>
      </c>
      <c r="C25" s="66">
        <f>D25+E25</f>
        <v>41768</v>
      </c>
      <c r="D25" s="66">
        <v>20362</v>
      </c>
      <c r="E25" s="67">
        <v>21406</v>
      </c>
      <c r="F25" s="49">
        <f>C25/B25</f>
        <v>4.1415964303420925</v>
      </c>
      <c r="G25" s="175">
        <v>35.520000000000003</v>
      </c>
      <c r="H25" s="737">
        <f>(C25/C23)-1</f>
        <v>0.35517990980175851</v>
      </c>
      <c r="I25" s="738"/>
    </row>
    <row r="26" spans="1:9" ht="15" customHeight="1" x14ac:dyDescent="0.15">
      <c r="A26" s="176"/>
      <c r="B26" s="463"/>
      <c r="C26" s="66"/>
      <c r="D26" s="66"/>
      <c r="E26" s="67"/>
      <c r="F26" s="49"/>
      <c r="G26" s="175"/>
      <c r="H26" s="739"/>
      <c r="I26" s="738"/>
    </row>
    <row r="27" spans="1:9" ht="18" customHeight="1" x14ac:dyDescent="0.15">
      <c r="A27" s="176">
        <v>50</v>
      </c>
      <c r="B27" s="463">
        <v>15063</v>
      </c>
      <c r="C27" s="66">
        <f>D27+E27</f>
        <v>59289</v>
      </c>
      <c r="D27" s="66">
        <v>29382</v>
      </c>
      <c r="E27" s="67">
        <v>29907</v>
      </c>
      <c r="F27" s="49">
        <f>C27/B27</f>
        <v>3.9360685122485561</v>
      </c>
      <c r="G27" s="175">
        <v>41.95</v>
      </c>
      <c r="H27" s="737">
        <f>(C27/C25)-1</f>
        <v>0.41948381536104185</v>
      </c>
      <c r="I27" s="738"/>
    </row>
    <row r="28" spans="1:9" ht="15" customHeight="1" x14ac:dyDescent="0.15">
      <c r="A28" s="176"/>
      <c r="B28" s="463"/>
      <c r="C28" s="66"/>
      <c r="D28" s="66"/>
      <c r="E28" s="67"/>
      <c r="F28" s="49"/>
      <c r="G28" s="175"/>
      <c r="H28" s="739"/>
      <c r="I28" s="738"/>
    </row>
    <row r="29" spans="1:9" ht="18" customHeight="1" x14ac:dyDescent="0.15">
      <c r="A29" s="176">
        <v>55</v>
      </c>
      <c r="B29" s="463">
        <v>19112</v>
      </c>
      <c r="C29" s="66">
        <f>D29+E29</f>
        <v>70282</v>
      </c>
      <c r="D29" s="66">
        <v>34773</v>
      </c>
      <c r="E29" s="67">
        <v>35509</v>
      </c>
      <c r="F29" s="49">
        <f>C29/B29</f>
        <v>3.6773754709083297</v>
      </c>
      <c r="G29" s="175">
        <v>18.54</v>
      </c>
      <c r="H29" s="737">
        <f>(C29/C27)-1</f>
        <v>0.18541382043886734</v>
      </c>
      <c r="I29" s="738"/>
    </row>
    <row r="30" spans="1:9" ht="15" customHeight="1" x14ac:dyDescent="0.15">
      <c r="A30" s="176"/>
      <c r="B30" s="463"/>
      <c r="C30" s="66"/>
      <c r="D30" s="66"/>
      <c r="E30" s="67"/>
      <c r="F30" s="49"/>
      <c r="G30" s="175"/>
      <c r="H30" s="739"/>
      <c r="I30" s="738"/>
    </row>
    <row r="31" spans="1:9" ht="18" customHeight="1" x14ac:dyDescent="0.15">
      <c r="A31" s="176">
        <v>60</v>
      </c>
      <c r="B31" s="463">
        <v>23579</v>
      </c>
      <c r="C31" s="66">
        <f>D31+E31</f>
        <v>81611</v>
      </c>
      <c r="D31" s="66">
        <v>40547</v>
      </c>
      <c r="E31" s="67">
        <v>41064</v>
      </c>
      <c r="F31" s="49">
        <f>C31/B31</f>
        <v>3.4611730777386658</v>
      </c>
      <c r="G31" s="175">
        <v>16.12</v>
      </c>
      <c r="H31" s="737">
        <f>(C31/C29)-1</f>
        <v>0.16119347770410641</v>
      </c>
      <c r="I31" s="738"/>
    </row>
    <row r="32" spans="1:9" ht="15" customHeight="1" x14ac:dyDescent="0.15">
      <c r="A32" s="177"/>
      <c r="B32" s="463"/>
      <c r="C32" s="66"/>
      <c r="D32" s="66"/>
      <c r="E32" s="67"/>
      <c r="F32" s="49"/>
      <c r="G32" s="175"/>
      <c r="H32" s="739"/>
      <c r="I32" s="738"/>
    </row>
    <row r="33" spans="1:9" ht="18" customHeight="1" x14ac:dyDescent="0.15">
      <c r="A33" s="177" t="s">
        <v>290</v>
      </c>
      <c r="B33" s="463">
        <v>27749</v>
      </c>
      <c r="C33" s="66">
        <f>D33+E33</f>
        <v>89994</v>
      </c>
      <c r="D33" s="66">
        <v>44316</v>
      </c>
      <c r="E33" s="67">
        <v>45678</v>
      </c>
      <c r="F33" s="49">
        <f>C33/B33</f>
        <v>3.2431438970773723</v>
      </c>
      <c r="G33" s="175">
        <v>10.27</v>
      </c>
      <c r="H33" s="737">
        <f>(C33/C31)-1</f>
        <v>0.10271899621374581</v>
      </c>
      <c r="I33" s="738"/>
    </row>
    <row r="34" spans="1:9" ht="15" customHeight="1" x14ac:dyDescent="0.15">
      <c r="A34" s="177"/>
      <c r="B34" s="463"/>
      <c r="C34" s="66"/>
      <c r="D34" s="66"/>
      <c r="E34" s="67"/>
      <c r="F34" s="49"/>
      <c r="G34" s="175"/>
      <c r="H34" s="739"/>
      <c r="I34" s="738"/>
    </row>
    <row r="35" spans="1:9" ht="18" customHeight="1" x14ac:dyDescent="0.15">
      <c r="A35" s="177" t="s">
        <v>46</v>
      </c>
      <c r="B35" s="463">
        <v>31445</v>
      </c>
      <c r="C35" s="66">
        <f>D35+E35</f>
        <v>96002</v>
      </c>
      <c r="D35" s="66">
        <v>47360</v>
      </c>
      <c r="E35" s="67">
        <v>48642</v>
      </c>
      <c r="F35" s="49">
        <f>C35/B35</f>
        <v>3.0530131976466848</v>
      </c>
      <c r="G35" s="175">
        <v>6.68</v>
      </c>
      <c r="H35" s="737">
        <f>(C35/C33)-1</f>
        <v>6.6760006222637003E-2</v>
      </c>
      <c r="I35" s="738"/>
    </row>
    <row r="36" spans="1:9" ht="15" customHeight="1" x14ac:dyDescent="0.15">
      <c r="A36" s="464"/>
      <c r="B36" s="463"/>
      <c r="C36" s="66"/>
      <c r="D36" s="66"/>
      <c r="E36" s="67"/>
      <c r="F36" s="49"/>
      <c r="G36" s="175"/>
      <c r="H36" s="739"/>
      <c r="I36" s="738"/>
    </row>
    <row r="37" spans="1:9" ht="18" customHeight="1" x14ac:dyDescent="0.15">
      <c r="A37" s="177" t="s">
        <v>291</v>
      </c>
      <c r="B37" s="463">
        <v>35884</v>
      </c>
      <c r="C37" s="66">
        <f>D37+E37</f>
        <v>102734</v>
      </c>
      <c r="D37" s="66">
        <v>50440</v>
      </c>
      <c r="E37" s="67">
        <v>52294</v>
      </c>
      <c r="F37" s="49">
        <f>C37/B37</f>
        <v>2.862947274551332</v>
      </c>
      <c r="G37" s="175">
        <v>7.01</v>
      </c>
      <c r="H37" s="737">
        <f>(C37/C35)-1</f>
        <v>7.0123539092935561E-2</v>
      </c>
      <c r="I37" s="738"/>
    </row>
    <row r="38" spans="1:9" ht="15" customHeight="1" x14ac:dyDescent="0.15">
      <c r="A38" s="177"/>
      <c r="B38" s="463"/>
      <c r="C38" s="66"/>
      <c r="D38" s="66"/>
      <c r="E38" s="67"/>
      <c r="F38" s="49"/>
      <c r="G38" s="175"/>
      <c r="H38" s="739"/>
      <c r="I38" s="738"/>
    </row>
    <row r="39" spans="1:9" ht="18" customHeight="1" x14ac:dyDescent="0.15">
      <c r="A39" s="177" t="s">
        <v>292</v>
      </c>
      <c r="B39" s="463">
        <v>38314</v>
      </c>
      <c r="C39" s="66">
        <f>D39+E39</f>
        <v>106049</v>
      </c>
      <c r="D39" s="66">
        <v>52128</v>
      </c>
      <c r="E39" s="67">
        <v>53921</v>
      </c>
      <c r="F39" s="49">
        <f>C39/B39</f>
        <v>2.7678916323015086</v>
      </c>
      <c r="G39" s="175">
        <v>3.23</v>
      </c>
      <c r="H39" s="737">
        <f>(C39/C37)-1</f>
        <v>3.2267798391963698E-2</v>
      </c>
      <c r="I39" s="738"/>
    </row>
    <row r="40" spans="1:9" ht="15" customHeight="1" x14ac:dyDescent="0.15">
      <c r="A40" s="464"/>
      <c r="B40" s="463"/>
      <c r="C40" s="66"/>
      <c r="D40" s="66"/>
      <c r="E40" s="67"/>
      <c r="F40" s="49"/>
      <c r="G40" s="175"/>
      <c r="H40" s="739"/>
      <c r="I40" s="738"/>
    </row>
    <row r="41" spans="1:9" ht="18" customHeight="1" x14ac:dyDescent="0.15">
      <c r="A41" s="177" t="s">
        <v>293</v>
      </c>
      <c r="B41" s="463">
        <v>40927</v>
      </c>
      <c r="C41" s="462">
        <f>D41+E41</f>
        <v>110351</v>
      </c>
      <c r="D41" s="462">
        <v>53948</v>
      </c>
      <c r="E41" s="67">
        <v>56403</v>
      </c>
      <c r="F41" s="49">
        <f>C41/B41</f>
        <v>2.6962885136951158</v>
      </c>
      <c r="G41" s="471">
        <v>4.0599999999999996</v>
      </c>
      <c r="H41" s="737">
        <f>(C41/C39)-1</f>
        <v>4.0566153381927261E-2</v>
      </c>
      <c r="I41" s="738"/>
    </row>
    <row r="42" spans="1:9" ht="15" customHeight="1" x14ac:dyDescent="0.15">
      <c r="A42" s="133"/>
      <c r="B42" s="65"/>
      <c r="C42" s="66"/>
      <c r="D42" s="66"/>
      <c r="E42" s="67"/>
      <c r="F42" s="49"/>
      <c r="G42" s="175"/>
      <c r="H42" s="738"/>
      <c r="I42" s="738"/>
    </row>
    <row r="43" spans="1:9" ht="18" customHeight="1" thickBot="1" x14ac:dyDescent="0.2">
      <c r="A43" s="379" t="s">
        <v>623</v>
      </c>
      <c r="B43" s="380">
        <v>44041</v>
      </c>
      <c r="C43" s="381">
        <v>114232</v>
      </c>
      <c r="D43" s="381">
        <v>55471</v>
      </c>
      <c r="E43" s="382">
        <v>58761</v>
      </c>
      <c r="F43" s="383">
        <f>C43/B43</f>
        <v>2.593764900887809</v>
      </c>
      <c r="G43" s="384">
        <v>3.52</v>
      </c>
      <c r="H43" s="737">
        <f>(C43/C41)-1</f>
        <v>3.5169595200768455E-2</v>
      </c>
      <c r="I43" s="738"/>
    </row>
    <row r="44" spans="1:9" ht="15" customHeight="1" x14ac:dyDescent="0.15">
      <c r="A44" s="5" t="s">
        <v>294</v>
      </c>
      <c r="G44" s="7" t="s">
        <v>624</v>
      </c>
    </row>
    <row r="65536" ht="16.5" customHeight="1" x14ac:dyDescent="0.15"/>
  </sheetData>
  <sheetProtection sheet="1" objects="1" scenarios="1"/>
  <mergeCells count="6">
    <mergeCell ref="B1:G1"/>
    <mergeCell ref="A4:G4"/>
    <mergeCell ref="A7:A9"/>
    <mergeCell ref="B7:B9"/>
    <mergeCell ref="C7:E8"/>
    <mergeCell ref="F7:F9"/>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8"/>
  <sheetViews>
    <sheetView view="pageBreakPreview" zoomScaleNormal="120" zoomScaleSheetLayoutView="100" workbookViewId="0">
      <pane ySplit="4" topLeftCell="A5" activePane="bottomLeft" state="frozen"/>
      <selection activeCell="K250" sqref="K250"/>
      <selection pane="bottomLeft" activeCell="K250" sqref="K250"/>
    </sheetView>
  </sheetViews>
  <sheetFormatPr defaultRowHeight="17.100000000000001" customHeight="1" x14ac:dyDescent="0.15"/>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x14ac:dyDescent="0.15">
      <c r="A1" s="5"/>
      <c r="B1" s="6"/>
      <c r="C1" s="6"/>
      <c r="D1" s="6"/>
      <c r="E1" s="6"/>
      <c r="F1" s="6"/>
      <c r="G1" s="6"/>
      <c r="H1" s="6"/>
      <c r="I1" s="6"/>
      <c r="J1" s="6"/>
      <c r="K1" s="6"/>
      <c r="L1" s="7"/>
      <c r="M1" s="6"/>
    </row>
    <row r="2" spans="1:13" ht="15" customHeight="1" thickBot="1" x14ac:dyDescent="0.2">
      <c r="A2" s="5" t="s">
        <v>295</v>
      </c>
      <c r="B2" s="6"/>
      <c r="C2" s="6"/>
      <c r="D2" s="6"/>
      <c r="E2" s="6"/>
      <c r="F2" s="6"/>
      <c r="G2" s="6"/>
      <c r="H2" s="6"/>
      <c r="I2" s="6"/>
      <c r="J2" s="6"/>
      <c r="K2" s="6"/>
      <c r="L2" s="7" t="s">
        <v>296</v>
      </c>
      <c r="M2" s="6"/>
    </row>
    <row r="3" spans="1:13" ht="21" customHeight="1" x14ac:dyDescent="0.15">
      <c r="A3" s="912" t="s">
        <v>465</v>
      </c>
      <c r="B3" s="913" t="s">
        <v>466</v>
      </c>
      <c r="C3" s="913"/>
      <c r="D3" s="913"/>
      <c r="E3" s="913" t="s">
        <v>21</v>
      </c>
      <c r="F3" s="913"/>
      <c r="G3" s="913"/>
      <c r="H3" s="913"/>
      <c r="I3" s="913" t="s">
        <v>22</v>
      </c>
      <c r="J3" s="913"/>
      <c r="K3" s="913"/>
      <c r="L3" s="983"/>
      <c r="M3" s="22"/>
    </row>
    <row r="4" spans="1:13" ht="21" customHeight="1" x14ac:dyDescent="0.15">
      <c r="A4" s="914"/>
      <c r="B4" s="10" t="s">
        <v>458</v>
      </c>
      <c r="C4" s="10" t="s">
        <v>21</v>
      </c>
      <c r="D4" s="10" t="s">
        <v>22</v>
      </c>
      <c r="E4" s="10" t="s">
        <v>459</v>
      </c>
      <c r="F4" s="10" t="s">
        <v>297</v>
      </c>
      <c r="G4" s="10" t="s">
        <v>460</v>
      </c>
      <c r="H4" s="10" t="s">
        <v>461</v>
      </c>
      <c r="I4" s="10" t="s">
        <v>459</v>
      </c>
      <c r="J4" s="10" t="s">
        <v>297</v>
      </c>
      <c r="K4" s="10" t="s">
        <v>460</v>
      </c>
      <c r="L4" s="155" t="s">
        <v>462</v>
      </c>
      <c r="M4" s="22"/>
    </row>
    <row r="5" spans="1:13" ht="17.100000000000001" customHeight="1" x14ac:dyDescent="0.15">
      <c r="A5" s="179" t="s">
        <v>25</v>
      </c>
      <c r="B5" s="297">
        <f t="shared" ref="B5:L5" si="0">SUM(B6:B13)</f>
        <v>84512</v>
      </c>
      <c r="C5" s="298">
        <f t="shared" si="0"/>
        <v>40915</v>
      </c>
      <c r="D5" s="298">
        <f t="shared" si="0"/>
        <v>43597</v>
      </c>
      <c r="E5" s="298">
        <f t="shared" si="0"/>
        <v>14444</v>
      </c>
      <c r="F5" s="298">
        <f t="shared" si="0"/>
        <v>23347</v>
      </c>
      <c r="G5" s="298">
        <f t="shared" si="0"/>
        <v>694</v>
      </c>
      <c r="H5" s="298">
        <f t="shared" si="0"/>
        <v>1644</v>
      </c>
      <c r="I5" s="298">
        <f t="shared" si="0"/>
        <v>12212</v>
      </c>
      <c r="J5" s="298">
        <f t="shared" si="0"/>
        <v>23640</v>
      </c>
      <c r="K5" s="298">
        <f t="shared" si="0"/>
        <v>3400</v>
      </c>
      <c r="L5" s="299">
        <f t="shared" si="0"/>
        <v>3673</v>
      </c>
      <c r="M5" s="22"/>
    </row>
    <row r="6" spans="1:13" ht="17.100000000000001" customHeight="1" x14ac:dyDescent="0.15">
      <c r="A6" s="179" t="s">
        <v>298</v>
      </c>
      <c r="B6" s="297">
        <f t="shared" ref="B6:B13" si="1">C6+D6</f>
        <v>6800</v>
      </c>
      <c r="C6" s="298">
        <v>3479</v>
      </c>
      <c r="D6" s="298">
        <v>3321</v>
      </c>
      <c r="E6" s="298">
        <v>3458</v>
      </c>
      <c r="F6" s="298">
        <v>21</v>
      </c>
      <c r="G6" s="313" t="s">
        <v>149</v>
      </c>
      <c r="H6" s="313" t="s">
        <v>149</v>
      </c>
      <c r="I6" s="298">
        <v>3291</v>
      </c>
      <c r="J6" s="298">
        <v>26</v>
      </c>
      <c r="K6" s="313" t="s">
        <v>149</v>
      </c>
      <c r="L6" s="299">
        <v>4</v>
      </c>
      <c r="M6" s="22"/>
    </row>
    <row r="7" spans="1:13" ht="17.100000000000001" customHeight="1" x14ac:dyDescent="0.15">
      <c r="A7" s="179" t="s">
        <v>299</v>
      </c>
      <c r="B7" s="297">
        <f t="shared" si="1"/>
        <v>6455</v>
      </c>
      <c r="C7" s="298">
        <v>3196</v>
      </c>
      <c r="D7" s="298">
        <v>3259</v>
      </c>
      <c r="E7" s="298">
        <v>2871</v>
      </c>
      <c r="F7" s="298">
        <v>309</v>
      </c>
      <c r="G7" s="298">
        <v>2</v>
      </c>
      <c r="H7" s="298">
        <v>14</v>
      </c>
      <c r="I7" s="298">
        <v>2740</v>
      </c>
      <c r="J7" s="298">
        <v>476</v>
      </c>
      <c r="K7" s="298">
        <v>1</v>
      </c>
      <c r="L7" s="299">
        <v>39</v>
      </c>
      <c r="M7" s="22"/>
    </row>
    <row r="8" spans="1:13" ht="17.100000000000001" customHeight="1" x14ac:dyDescent="0.15">
      <c r="A8" s="179" t="s">
        <v>300</v>
      </c>
      <c r="B8" s="297">
        <f t="shared" si="1"/>
        <v>7699</v>
      </c>
      <c r="C8" s="298">
        <v>3739</v>
      </c>
      <c r="D8" s="298">
        <v>3960</v>
      </c>
      <c r="E8" s="298">
        <v>2403</v>
      </c>
      <c r="F8" s="298">
        <v>1281</v>
      </c>
      <c r="G8" s="298">
        <v>1</v>
      </c>
      <c r="H8" s="298">
        <v>53</v>
      </c>
      <c r="I8" s="298">
        <v>2159</v>
      </c>
      <c r="J8" s="298">
        <v>1628</v>
      </c>
      <c r="K8" s="298">
        <v>3</v>
      </c>
      <c r="L8" s="299">
        <v>154</v>
      </c>
      <c r="M8" s="22"/>
    </row>
    <row r="9" spans="1:13" ht="17.100000000000001" customHeight="1" x14ac:dyDescent="0.15">
      <c r="A9" s="179" t="s">
        <v>301</v>
      </c>
      <c r="B9" s="297">
        <f t="shared" si="1"/>
        <v>9498</v>
      </c>
      <c r="C9" s="298">
        <v>4660</v>
      </c>
      <c r="D9" s="298">
        <v>4838</v>
      </c>
      <c r="E9" s="298">
        <v>1955</v>
      </c>
      <c r="F9" s="298">
        <v>2581</v>
      </c>
      <c r="G9" s="298">
        <v>2</v>
      </c>
      <c r="H9" s="298">
        <v>120</v>
      </c>
      <c r="I9" s="298">
        <v>1468</v>
      </c>
      <c r="J9" s="298">
        <v>3056</v>
      </c>
      <c r="K9" s="298">
        <v>8</v>
      </c>
      <c r="L9" s="299">
        <v>288</v>
      </c>
      <c r="M9" s="22"/>
    </row>
    <row r="10" spans="1:13" ht="17.100000000000001" customHeight="1" x14ac:dyDescent="0.15">
      <c r="A10" s="179" t="s">
        <v>302</v>
      </c>
      <c r="B10" s="297">
        <f t="shared" si="1"/>
        <v>15925</v>
      </c>
      <c r="C10" s="298">
        <f>4053+3688</f>
        <v>7741</v>
      </c>
      <c r="D10" s="298">
        <f>4345+3839</f>
        <v>8184</v>
      </c>
      <c r="E10" s="298">
        <f>1058+714</f>
        <v>1772</v>
      </c>
      <c r="F10" s="298">
        <f>2683+2677</f>
        <v>5360</v>
      </c>
      <c r="G10" s="298">
        <v>10</v>
      </c>
      <c r="H10" s="298">
        <f>148+180</f>
        <v>328</v>
      </c>
      <c r="I10" s="298">
        <f>815+527</f>
        <v>1342</v>
      </c>
      <c r="J10" s="298">
        <f>3040+2736</f>
        <v>5776</v>
      </c>
      <c r="K10" s="298">
        <v>43</v>
      </c>
      <c r="L10" s="299">
        <v>841</v>
      </c>
      <c r="M10" s="22"/>
    </row>
    <row r="11" spans="1:13" ht="17.100000000000001" customHeight="1" x14ac:dyDescent="0.15">
      <c r="A11" s="179" t="s">
        <v>303</v>
      </c>
      <c r="B11" s="297">
        <f t="shared" si="1"/>
        <v>14281</v>
      </c>
      <c r="C11" s="298">
        <f>3527+3596</f>
        <v>7123</v>
      </c>
      <c r="D11" s="298">
        <f>3430+3728</f>
        <v>7158</v>
      </c>
      <c r="E11" s="298">
        <f>692+559</f>
        <v>1251</v>
      </c>
      <c r="F11" s="298">
        <f>2451+2637</f>
        <v>5088</v>
      </c>
      <c r="G11" s="298">
        <f>14+34</f>
        <v>48</v>
      </c>
      <c r="H11" s="298">
        <f>244+238</f>
        <v>482</v>
      </c>
      <c r="I11" s="298">
        <f>334+304</f>
        <v>638</v>
      </c>
      <c r="J11" s="298">
        <f>2432+2679</f>
        <v>5111</v>
      </c>
      <c r="K11" s="298">
        <f>86+129</f>
        <v>215</v>
      </c>
      <c r="L11" s="299">
        <v>1066</v>
      </c>
      <c r="M11" s="22"/>
    </row>
    <row r="12" spans="1:13" ht="17.100000000000001" customHeight="1" x14ac:dyDescent="0.15">
      <c r="A12" s="179" t="s">
        <v>304</v>
      </c>
      <c r="B12" s="297">
        <f t="shared" si="1"/>
        <v>10685</v>
      </c>
      <c r="C12" s="298">
        <f>3086+2202</f>
        <v>5288</v>
      </c>
      <c r="D12" s="298">
        <f>3051+2346</f>
        <v>5397</v>
      </c>
      <c r="E12" s="298">
        <f>355+165</f>
        <v>520</v>
      </c>
      <c r="F12" s="298">
        <f>2358+1782</f>
        <v>4140</v>
      </c>
      <c r="G12" s="298">
        <f>44+49</f>
        <v>93</v>
      </c>
      <c r="H12" s="298">
        <f>245+154</f>
        <v>399</v>
      </c>
      <c r="I12" s="298">
        <f>217+112</f>
        <v>329</v>
      </c>
      <c r="J12" s="298">
        <f>2184+1694</f>
        <v>3878</v>
      </c>
      <c r="K12" s="298">
        <f>165+245</f>
        <v>410</v>
      </c>
      <c r="L12" s="299">
        <v>672</v>
      </c>
      <c r="M12" s="22"/>
    </row>
    <row r="13" spans="1:13" ht="17.100000000000001" customHeight="1" x14ac:dyDescent="0.15">
      <c r="A13" s="179" t="s">
        <v>305</v>
      </c>
      <c r="B13" s="297">
        <f t="shared" si="1"/>
        <v>13169</v>
      </c>
      <c r="C13" s="298">
        <v>5689</v>
      </c>
      <c r="D13" s="298">
        <v>7480</v>
      </c>
      <c r="E13" s="298">
        <v>214</v>
      </c>
      <c r="F13" s="298">
        <v>4567</v>
      </c>
      <c r="G13" s="298">
        <v>538</v>
      </c>
      <c r="H13" s="298">
        <v>248</v>
      </c>
      <c r="I13" s="298">
        <v>245</v>
      </c>
      <c r="J13" s="298">
        <v>3689</v>
      </c>
      <c r="K13" s="298">
        <v>2720</v>
      </c>
      <c r="L13" s="299">
        <v>609</v>
      </c>
      <c r="M13" s="22"/>
    </row>
    <row r="14" spans="1:13" ht="17.100000000000001" customHeight="1" x14ac:dyDescent="0.15">
      <c r="A14" s="179"/>
      <c r="B14" s="297"/>
      <c r="C14" s="298"/>
      <c r="D14" s="298"/>
      <c r="E14" s="298"/>
      <c r="F14" s="298"/>
      <c r="G14" s="298"/>
      <c r="H14" s="298"/>
      <c r="I14" s="298"/>
      <c r="J14" s="298"/>
      <c r="K14" s="298"/>
      <c r="L14" s="299"/>
      <c r="M14" s="22"/>
    </row>
    <row r="15" spans="1:13" ht="17.100000000000001" customHeight="1" x14ac:dyDescent="0.15">
      <c r="A15" s="179" t="s">
        <v>26</v>
      </c>
      <c r="B15" s="297">
        <f t="shared" ref="B15:L15" si="2">SUM(B16:B23)</f>
        <v>88533</v>
      </c>
      <c r="C15" s="298">
        <f t="shared" si="2"/>
        <v>42642</v>
      </c>
      <c r="D15" s="298">
        <f t="shared" si="2"/>
        <v>45891</v>
      </c>
      <c r="E15" s="304">
        <f t="shared" si="2"/>
        <v>15011</v>
      </c>
      <c r="F15" s="304">
        <f t="shared" si="2"/>
        <v>24108</v>
      </c>
      <c r="G15" s="304">
        <f t="shared" si="2"/>
        <v>790</v>
      </c>
      <c r="H15" s="304">
        <f t="shared" si="2"/>
        <v>1947</v>
      </c>
      <c r="I15" s="304">
        <f t="shared" si="2"/>
        <v>12647</v>
      </c>
      <c r="J15" s="304">
        <f t="shared" si="2"/>
        <v>24456</v>
      </c>
      <c r="K15" s="304">
        <f t="shared" si="2"/>
        <v>3675</v>
      </c>
      <c r="L15" s="306">
        <f t="shared" si="2"/>
        <v>4003</v>
      </c>
      <c r="M15" s="420"/>
    </row>
    <row r="16" spans="1:13" ht="17.100000000000001" customHeight="1" x14ac:dyDescent="0.15">
      <c r="A16" s="179" t="s">
        <v>298</v>
      </c>
      <c r="B16" s="297">
        <f t="shared" ref="B16:B23" si="3">C16+D16</f>
        <v>6685</v>
      </c>
      <c r="C16" s="298">
        <v>3405</v>
      </c>
      <c r="D16" s="298">
        <v>3280</v>
      </c>
      <c r="E16" s="304">
        <v>3384</v>
      </c>
      <c r="F16" s="304">
        <v>16</v>
      </c>
      <c r="G16" s="287">
        <v>0</v>
      </c>
      <c r="H16" s="287">
        <v>0</v>
      </c>
      <c r="I16" s="304">
        <v>3248</v>
      </c>
      <c r="J16" s="304">
        <v>26</v>
      </c>
      <c r="K16" s="287">
        <v>0</v>
      </c>
      <c r="L16" s="305">
        <v>3</v>
      </c>
      <c r="M16" s="22"/>
    </row>
    <row r="17" spans="1:13" ht="17.100000000000001" customHeight="1" x14ac:dyDescent="0.15">
      <c r="A17" s="179" t="s">
        <v>299</v>
      </c>
      <c r="B17" s="297">
        <f t="shared" si="3"/>
        <v>5890</v>
      </c>
      <c r="C17" s="298">
        <v>2967</v>
      </c>
      <c r="D17" s="298">
        <v>2923</v>
      </c>
      <c r="E17" s="304">
        <v>2660</v>
      </c>
      <c r="F17" s="304">
        <v>260</v>
      </c>
      <c r="G17" s="304">
        <v>1</v>
      </c>
      <c r="H17" s="304">
        <v>12</v>
      </c>
      <c r="I17" s="304">
        <v>2490</v>
      </c>
      <c r="J17" s="304">
        <v>356</v>
      </c>
      <c r="K17" s="287">
        <v>0</v>
      </c>
      <c r="L17" s="306">
        <v>44</v>
      </c>
      <c r="M17" s="22"/>
    </row>
    <row r="18" spans="1:13" ht="17.100000000000001" customHeight="1" x14ac:dyDescent="0.15">
      <c r="A18" s="179" t="s">
        <v>300</v>
      </c>
      <c r="B18" s="297">
        <f t="shared" si="3"/>
        <v>7274</v>
      </c>
      <c r="C18" s="298">
        <v>3500</v>
      </c>
      <c r="D18" s="298">
        <v>3774</v>
      </c>
      <c r="E18" s="304">
        <v>2266</v>
      </c>
      <c r="F18" s="304">
        <v>1109</v>
      </c>
      <c r="G18" s="304">
        <v>1</v>
      </c>
      <c r="H18" s="304">
        <v>57</v>
      </c>
      <c r="I18" s="304">
        <v>2129</v>
      </c>
      <c r="J18" s="304">
        <v>1452</v>
      </c>
      <c r="K18" s="287">
        <v>0</v>
      </c>
      <c r="L18" s="306">
        <v>118</v>
      </c>
      <c r="M18" s="22"/>
    </row>
    <row r="19" spans="1:13" ht="17.100000000000001" customHeight="1" x14ac:dyDescent="0.15">
      <c r="A19" s="179" t="s">
        <v>301</v>
      </c>
      <c r="B19" s="297">
        <f t="shared" si="3"/>
        <v>8032</v>
      </c>
      <c r="C19" s="298">
        <v>3893</v>
      </c>
      <c r="D19" s="298">
        <v>4139</v>
      </c>
      <c r="E19" s="304">
        <v>1603</v>
      </c>
      <c r="F19" s="304">
        <v>2107</v>
      </c>
      <c r="G19" s="304">
        <v>1</v>
      </c>
      <c r="H19" s="304">
        <v>117</v>
      </c>
      <c r="I19" s="304">
        <v>1261</v>
      </c>
      <c r="J19" s="304">
        <v>2518</v>
      </c>
      <c r="K19" s="304">
        <v>2</v>
      </c>
      <c r="L19" s="306">
        <v>256</v>
      </c>
      <c r="M19" s="22"/>
    </row>
    <row r="20" spans="1:13" ht="17.100000000000001" customHeight="1" x14ac:dyDescent="0.15">
      <c r="A20" s="179" t="s">
        <v>302</v>
      </c>
      <c r="B20" s="297">
        <f t="shared" si="3"/>
        <v>17533</v>
      </c>
      <c r="C20" s="298">
        <v>8578</v>
      </c>
      <c r="D20" s="298">
        <v>8955</v>
      </c>
      <c r="E20" s="304">
        <f>1433+1000</f>
        <v>2433</v>
      </c>
      <c r="F20" s="304">
        <f>2957+2633</f>
        <v>5590</v>
      </c>
      <c r="G20" s="304">
        <f>1+9</f>
        <v>10</v>
      </c>
      <c r="H20" s="304">
        <f>183+212</f>
        <v>395</v>
      </c>
      <c r="I20" s="304">
        <f>1033+760</f>
        <v>1793</v>
      </c>
      <c r="J20" s="304">
        <f>3194+2890</f>
        <v>6084</v>
      </c>
      <c r="K20" s="304">
        <f>16+31</f>
        <v>47</v>
      </c>
      <c r="L20" s="306">
        <f>406+429</f>
        <v>835</v>
      </c>
      <c r="M20" s="22"/>
    </row>
    <row r="21" spans="1:13" ht="17.100000000000001" customHeight="1" x14ac:dyDescent="0.15">
      <c r="A21" s="179" t="s">
        <v>303</v>
      </c>
      <c r="B21" s="297">
        <f t="shared" si="3"/>
        <v>14135</v>
      </c>
      <c r="C21" s="298">
        <v>6945</v>
      </c>
      <c r="D21" s="298">
        <v>7190</v>
      </c>
      <c r="E21" s="304">
        <f>683+694</f>
        <v>1377</v>
      </c>
      <c r="F21" s="304">
        <f>2559+2352</f>
        <v>4911</v>
      </c>
      <c r="G21" s="304">
        <f>13+21</f>
        <v>34</v>
      </c>
      <c r="H21" s="304">
        <f>214+269</f>
        <v>483</v>
      </c>
      <c r="I21" s="304">
        <f>495+346</f>
        <v>841</v>
      </c>
      <c r="J21" s="304">
        <f>2603+2329</f>
        <v>4932</v>
      </c>
      <c r="K21" s="304">
        <f>60+114</f>
        <v>174</v>
      </c>
      <c r="L21" s="306">
        <f>509+559</f>
        <v>1068</v>
      </c>
      <c r="M21" s="22"/>
    </row>
    <row r="22" spans="1:13" ht="17.100000000000001" customHeight="1" x14ac:dyDescent="0.15">
      <c r="A22" s="179" t="s">
        <v>304</v>
      </c>
      <c r="B22" s="297">
        <f t="shared" si="3"/>
        <v>13138</v>
      </c>
      <c r="C22" s="298">
        <v>6444</v>
      </c>
      <c r="D22" s="298">
        <v>6694</v>
      </c>
      <c r="E22" s="304">
        <f>564+366</f>
        <v>930</v>
      </c>
      <c r="F22" s="304">
        <f>2455+2257</f>
        <v>4712</v>
      </c>
      <c r="G22" s="304">
        <f>49+61</f>
        <v>110</v>
      </c>
      <c r="H22" s="304">
        <f>276+255</f>
        <v>531</v>
      </c>
      <c r="I22" s="304">
        <f>323+199</f>
        <v>522</v>
      </c>
      <c r="J22" s="304">
        <f>2506+2089</f>
        <v>4595</v>
      </c>
      <c r="K22" s="304">
        <f>192+240</f>
        <v>432</v>
      </c>
      <c r="L22" s="306">
        <f>573+406</f>
        <v>979</v>
      </c>
      <c r="M22" s="22"/>
    </row>
    <row r="23" spans="1:13" ht="17.100000000000001" customHeight="1" x14ac:dyDescent="0.15">
      <c r="A23" s="179" t="s">
        <v>305</v>
      </c>
      <c r="B23" s="297">
        <f t="shared" si="3"/>
        <v>15846</v>
      </c>
      <c r="C23" s="298">
        <v>6910</v>
      </c>
      <c r="D23" s="298">
        <v>8936</v>
      </c>
      <c r="E23" s="304">
        <v>358</v>
      </c>
      <c r="F23" s="304">
        <v>5403</v>
      </c>
      <c r="G23" s="304">
        <v>633</v>
      </c>
      <c r="H23" s="304">
        <v>352</v>
      </c>
      <c r="I23" s="304">
        <v>363</v>
      </c>
      <c r="J23" s="304">
        <v>4493</v>
      </c>
      <c r="K23" s="304">
        <v>3020</v>
      </c>
      <c r="L23" s="306">
        <v>700</v>
      </c>
      <c r="M23" s="22"/>
    </row>
    <row r="24" spans="1:13" ht="17.100000000000001" customHeight="1" x14ac:dyDescent="0.15">
      <c r="A24" s="179"/>
      <c r="B24" s="297"/>
      <c r="C24" s="298"/>
      <c r="D24" s="298"/>
      <c r="E24" s="298"/>
      <c r="F24" s="298"/>
      <c r="G24" s="298"/>
      <c r="H24" s="298"/>
      <c r="I24" s="298"/>
      <c r="J24" s="298"/>
      <c r="K24" s="298"/>
      <c r="L24" s="299"/>
      <c r="M24" s="22"/>
    </row>
    <row r="25" spans="1:13" ht="17.100000000000001" customHeight="1" x14ac:dyDescent="0.15">
      <c r="A25" s="178" t="s">
        <v>625</v>
      </c>
      <c r="B25" s="300">
        <f t="shared" ref="B25:L25" si="4">SUM(B26:B33)</f>
        <v>92102</v>
      </c>
      <c r="C25" s="301">
        <f t="shared" si="4"/>
        <v>44202</v>
      </c>
      <c r="D25" s="301">
        <f t="shared" si="4"/>
        <v>47900</v>
      </c>
      <c r="E25" s="302">
        <f t="shared" si="4"/>
        <v>15335</v>
      </c>
      <c r="F25" s="302">
        <f t="shared" si="4"/>
        <v>24439</v>
      </c>
      <c r="G25" s="302">
        <f t="shared" si="4"/>
        <v>924</v>
      </c>
      <c r="H25" s="302">
        <f t="shared" si="4"/>
        <v>2026</v>
      </c>
      <c r="I25" s="302">
        <f t="shared" si="4"/>
        <v>13111</v>
      </c>
      <c r="J25" s="302">
        <f t="shared" si="4"/>
        <v>25209</v>
      </c>
      <c r="K25" s="302">
        <f t="shared" si="4"/>
        <v>3866</v>
      </c>
      <c r="L25" s="303">
        <f t="shared" si="4"/>
        <v>4140</v>
      </c>
      <c r="M25" s="22"/>
    </row>
    <row r="26" spans="1:13" ht="17.100000000000001" customHeight="1" x14ac:dyDescent="0.15">
      <c r="A26" s="179" t="s">
        <v>298</v>
      </c>
      <c r="B26" s="297">
        <v>6904</v>
      </c>
      <c r="C26" s="298">
        <v>3504</v>
      </c>
      <c r="D26" s="298">
        <v>3400</v>
      </c>
      <c r="E26" s="304">
        <v>3468</v>
      </c>
      <c r="F26" s="304">
        <v>25</v>
      </c>
      <c r="G26" s="287">
        <v>0</v>
      </c>
      <c r="H26" s="287">
        <v>0</v>
      </c>
      <c r="I26" s="304">
        <v>3312</v>
      </c>
      <c r="J26" s="304">
        <v>44</v>
      </c>
      <c r="K26" s="287">
        <v>1</v>
      </c>
      <c r="L26" s="305">
        <v>2</v>
      </c>
      <c r="M26" s="22"/>
    </row>
    <row r="27" spans="1:13" ht="17.100000000000001" customHeight="1" x14ac:dyDescent="0.15">
      <c r="A27" s="179" t="s">
        <v>299</v>
      </c>
      <c r="B27" s="297">
        <v>5837</v>
      </c>
      <c r="C27" s="298">
        <v>2909</v>
      </c>
      <c r="D27" s="298">
        <v>2928</v>
      </c>
      <c r="E27" s="304">
        <v>2607</v>
      </c>
      <c r="F27" s="304">
        <v>235</v>
      </c>
      <c r="G27" s="287">
        <v>0</v>
      </c>
      <c r="H27" s="304">
        <v>6</v>
      </c>
      <c r="I27" s="304">
        <v>2492</v>
      </c>
      <c r="J27" s="304">
        <v>332</v>
      </c>
      <c r="K27" s="287">
        <v>2</v>
      </c>
      <c r="L27" s="306">
        <v>36</v>
      </c>
      <c r="M27" s="22"/>
    </row>
    <row r="28" spans="1:13" ht="17.100000000000001" customHeight="1" x14ac:dyDescent="0.15">
      <c r="A28" s="179" t="s">
        <v>300</v>
      </c>
      <c r="B28" s="297">
        <v>6462</v>
      </c>
      <c r="C28" s="298">
        <v>3200</v>
      </c>
      <c r="D28" s="298">
        <v>3262</v>
      </c>
      <c r="E28" s="304">
        <v>2111</v>
      </c>
      <c r="F28" s="304">
        <v>947</v>
      </c>
      <c r="G28" s="304">
        <v>1</v>
      </c>
      <c r="H28" s="304">
        <v>39</v>
      </c>
      <c r="I28" s="304">
        <v>1873</v>
      </c>
      <c r="J28" s="304">
        <v>1203</v>
      </c>
      <c r="K28" s="287">
        <v>0</v>
      </c>
      <c r="L28" s="306">
        <v>93</v>
      </c>
      <c r="M28" s="22"/>
    </row>
    <row r="29" spans="1:13" ht="17.100000000000001" customHeight="1" x14ac:dyDescent="0.15">
      <c r="A29" s="179" t="s">
        <v>301</v>
      </c>
      <c r="B29" s="297">
        <v>7395</v>
      </c>
      <c r="C29" s="298">
        <v>3568</v>
      </c>
      <c r="D29" s="298">
        <v>3827</v>
      </c>
      <c r="E29" s="304">
        <v>1525</v>
      </c>
      <c r="F29" s="304">
        <v>1859</v>
      </c>
      <c r="G29" s="304">
        <v>1</v>
      </c>
      <c r="H29" s="304">
        <v>100</v>
      </c>
      <c r="I29" s="304">
        <v>1325</v>
      </c>
      <c r="J29" s="304">
        <v>2227</v>
      </c>
      <c r="K29" s="304">
        <v>3</v>
      </c>
      <c r="L29" s="306">
        <v>189</v>
      </c>
      <c r="M29" s="22"/>
    </row>
    <row r="30" spans="1:13" ht="17.100000000000001" customHeight="1" x14ac:dyDescent="0.15">
      <c r="A30" s="179" t="s">
        <v>302</v>
      </c>
      <c r="B30" s="297">
        <v>17177</v>
      </c>
      <c r="C30" s="298">
        <v>8369</v>
      </c>
      <c r="D30" s="298">
        <v>8808</v>
      </c>
      <c r="E30" s="304">
        <v>2385</v>
      </c>
      <c r="F30" s="304">
        <v>5335</v>
      </c>
      <c r="G30" s="304">
        <v>9</v>
      </c>
      <c r="H30" s="304">
        <v>394</v>
      </c>
      <c r="I30" s="304">
        <v>1753</v>
      </c>
      <c r="J30" s="304">
        <v>6038</v>
      </c>
      <c r="K30" s="304">
        <v>26</v>
      </c>
      <c r="L30" s="306">
        <v>798</v>
      </c>
      <c r="M30" s="22"/>
    </row>
    <row r="31" spans="1:13" ht="17.100000000000001" customHeight="1" x14ac:dyDescent="0.15">
      <c r="A31" s="179" t="s">
        <v>303</v>
      </c>
      <c r="B31" s="297">
        <v>15200</v>
      </c>
      <c r="C31" s="298">
        <v>7341</v>
      </c>
      <c r="D31" s="298">
        <v>7859</v>
      </c>
      <c r="E31" s="304">
        <v>1535</v>
      </c>
      <c r="F31" s="304">
        <v>5055</v>
      </c>
      <c r="G31" s="304">
        <v>35</v>
      </c>
      <c r="H31" s="304">
        <v>472</v>
      </c>
      <c r="I31" s="304">
        <v>1205</v>
      </c>
      <c r="J31" s="304">
        <v>5348</v>
      </c>
      <c r="K31" s="304">
        <v>123</v>
      </c>
      <c r="L31" s="306">
        <v>963</v>
      </c>
      <c r="M31" s="22"/>
    </row>
    <row r="32" spans="1:13" ht="17.100000000000001" customHeight="1" x14ac:dyDescent="0.15">
      <c r="A32" s="179" t="s">
        <v>304</v>
      </c>
      <c r="B32" s="297">
        <v>13651</v>
      </c>
      <c r="C32" s="298">
        <v>6662</v>
      </c>
      <c r="D32" s="298">
        <v>6989</v>
      </c>
      <c r="E32" s="304">
        <v>1119</v>
      </c>
      <c r="F32" s="304">
        <v>4574</v>
      </c>
      <c r="G32" s="304">
        <v>127</v>
      </c>
      <c r="H32" s="304">
        <v>529</v>
      </c>
      <c r="I32" s="304">
        <v>626</v>
      </c>
      <c r="J32" s="304">
        <v>4597</v>
      </c>
      <c r="K32" s="304">
        <v>441</v>
      </c>
      <c r="L32" s="306">
        <v>1091</v>
      </c>
      <c r="M32" s="22"/>
    </row>
    <row r="33" spans="1:13" ht="17.100000000000001" customHeight="1" thickBot="1" x14ac:dyDescent="0.2">
      <c r="A33" s="180" t="s">
        <v>305</v>
      </c>
      <c r="B33" s="307">
        <v>19476</v>
      </c>
      <c r="C33" s="308">
        <v>8649</v>
      </c>
      <c r="D33" s="308">
        <v>10827</v>
      </c>
      <c r="E33" s="309">
        <v>585</v>
      </c>
      <c r="F33" s="309">
        <v>6409</v>
      </c>
      <c r="G33" s="309">
        <v>751</v>
      </c>
      <c r="H33" s="309">
        <v>486</v>
      </c>
      <c r="I33" s="309">
        <v>525</v>
      </c>
      <c r="J33" s="309">
        <v>5420</v>
      </c>
      <c r="K33" s="309">
        <v>3270</v>
      </c>
      <c r="L33" s="310">
        <v>968</v>
      </c>
      <c r="M33" s="22"/>
    </row>
    <row r="34" spans="1:13" ht="15" customHeight="1" x14ac:dyDescent="0.15">
      <c r="A34" s="5" t="s">
        <v>627</v>
      </c>
      <c r="B34" s="6"/>
      <c r="C34" s="6"/>
      <c r="D34" s="6"/>
      <c r="E34" s="6"/>
      <c r="F34" s="6"/>
      <c r="G34" s="6"/>
      <c r="H34" s="6"/>
      <c r="I34" s="6"/>
      <c r="J34" s="6"/>
      <c r="K34" s="6"/>
      <c r="L34" s="7" t="s">
        <v>626</v>
      </c>
      <c r="M34" s="6"/>
    </row>
    <row r="35" spans="1:13" ht="15" customHeight="1" x14ac:dyDescent="0.15">
      <c r="A35" s="5"/>
      <c r="B35" s="6"/>
      <c r="C35" s="6"/>
      <c r="D35" s="6"/>
      <c r="E35" s="6"/>
      <c r="F35" s="6"/>
      <c r="G35" s="6"/>
      <c r="H35" s="6"/>
      <c r="I35" s="6"/>
      <c r="J35" s="6"/>
      <c r="K35" s="6"/>
      <c r="L35" s="6"/>
      <c r="M35" s="6"/>
    </row>
    <row r="36" spans="1:13" ht="15" customHeight="1" thickBot="1" x14ac:dyDescent="0.2">
      <c r="A36" s="5" t="s">
        <v>306</v>
      </c>
      <c r="B36" s="6"/>
      <c r="C36" s="6"/>
      <c r="D36" s="6"/>
      <c r="E36" s="6"/>
      <c r="F36" s="6"/>
      <c r="G36" s="6"/>
      <c r="H36" s="6"/>
      <c r="I36" s="6"/>
      <c r="J36" s="6"/>
      <c r="K36" s="6"/>
      <c r="L36" s="7" t="s">
        <v>307</v>
      </c>
      <c r="M36" s="6"/>
    </row>
    <row r="37" spans="1:13" ht="21" customHeight="1" x14ac:dyDescent="0.15">
      <c r="A37" s="916" t="s">
        <v>308</v>
      </c>
      <c r="B37" s="984"/>
      <c r="C37" s="985" t="s">
        <v>457</v>
      </c>
      <c r="D37" s="986"/>
      <c r="E37" s="134" t="s">
        <v>309</v>
      </c>
      <c r="F37" s="913" t="s">
        <v>473</v>
      </c>
      <c r="G37" s="913"/>
      <c r="H37" s="913"/>
      <c r="I37" s="913"/>
      <c r="J37" s="913"/>
      <c r="K37" s="913"/>
      <c r="L37" s="983"/>
    </row>
    <row r="38" spans="1:13" ht="21" customHeight="1" x14ac:dyDescent="0.15">
      <c r="A38" s="963" t="s">
        <v>310</v>
      </c>
      <c r="B38" s="847"/>
      <c r="C38" s="987"/>
      <c r="D38" s="988"/>
      <c r="E38" s="11" t="s">
        <v>311</v>
      </c>
      <c r="F38" s="8" t="s">
        <v>164</v>
      </c>
      <c r="G38" s="8" t="s">
        <v>312</v>
      </c>
      <c r="H38" s="8" t="s">
        <v>313</v>
      </c>
      <c r="I38" s="8" t="s">
        <v>314</v>
      </c>
      <c r="J38" s="8" t="s">
        <v>315</v>
      </c>
      <c r="K38" s="8" t="s">
        <v>316</v>
      </c>
      <c r="L38" s="181" t="s">
        <v>317</v>
      </c>
    </row>
    <row r="39" spans="1:13" s="72" customFormat="1" ht="17.100000000000001" customHeight="1" x14ac:dyDescent="0.15">
      <c r="A39" s="978" t="s">
        <v>428</v>
      </c>
      <c r="B39" s="979"/>
      <c r="C39" s="980">
        <f>SUM(C41:D47)</f>
        <v>6666</v>
      </c>
      <c r="D39" s="980"/>
      <c r="E39" s="293">
        <f t="shared" ref="E39:L39" si="5">SUM(E41:E47)</f>
        <v>2903</v>
      </c>
      <c r="F39" s="293">
        <f>SUM(F41:F47)</f>
        <v>3763</v>
      </c>
      <c r="G39" s="293">
        <f t="shared" si="5"/>
        <v>990</v>
      </c>
      <c r="H39" s="293">
        <f t="shared" si="5"/>
        <v>945</v>
      </c>
      <c r="I39" s="293">
        <f t="shared" si="5"/>
        <v>750</v>
      </c>
      <c r="J39" s="293">
        <f t="shared" si="5"/>
        <v>635</v>
      </c>
      <c r="K39" s="293">
        <f t="shared" si="5"/>
        <v>332</v>
      </c>
      <c r="L39" s="294">
        <f t="shared" si="5"/>
        <v>111</v>
      </c>
    </row>
    <row r="40" spans="1:13" ht="17.100000000000001" customHeight="1" x14ac:dyDescent="0.15">
      <c r="A40" s="975"/>
      <c r="B40" s="976"/>
      <c r="C40" s="65"/>
      <c r="D40" s="334"/>
      <c r="E40" s="66"/>
      <c r="F40" s="66"/>
      <c r="G40" s="66"/>
      <c r="H40" s="66"/>
      <c r="I40" s="66"/>
      <c r="J40" s="66"/>
      <c r="K40" s="66"/>
      <c r="L40" s="295"/>
    </row>
    <row r="41" spans="1:13" ht="17.100000000000001" customHeight="1" x14ac:dyDescent="0.15">
      <c r="A41" s="981" t="s">
        <v>318</v>
      </c>
      <c r="B41" s="982"/>
      <c r="C41" s="977">
        <v>2555</v>
      </c>
      <c r="D41" s="977"/>
      <c r="E41" s="66">
        <v>2466</v>
      </c>
      <c r="F41" s="66">
        <f t="shared" ref="F41:F47" si="6">SUM(G41:L41)</f>
        <v>89</v>
      </c>
      <c r="G41" s="66">
        <v>72</v>
      </c>
      <c r="H41" s="66">
        <v>13</v>
      </c>
      <c r="I41" s="66">
        <v>3</v>
      </c>
      <c r="J41" s="313">
        <v>1</v>
      </c>
      <c r="K41" s="313">
        <v>0</v>
      </c>
      <c r="L41" s="335">
        <v>0</v>
      </c>
    </row>
    <row r="42" spans="1:13" ht="17.100000000000001" customHeight="1" x14ac:dyDescent="0.15">
      <c r="A42" s="975" t="s">
        <v>312</v>
      </c>
      <c r="B42" s="976"/>
      <c r="C42" s="977">
        <v>851</v>
      </c>
      <c r="D42" s="977"/>
      <c r="E42" s="66">
        <v>314</v>
      </c>
      <c r="F42" s="66">
        <f t="shared" si="6"/>
        <v>537</v>
      </c>
      <c r="G42" s="66">
        <v>436</v>
      </c>
      <c r="H42" s="66">
        <v>88</v>
      </c>
      <c r="I42" s="66">
        <v>10</v>
      </c>
      <c r="J42" s="313">
        <v>2</v>
      </c>
      <c r="K42" s="313">
        <v>0</v>
      </c>
      <c r="L42" s="335">
        <v>1</v>
      </c>
    </row>
    <row r="43" spans="1:13" ht="17.100000000000001" customHeight="1" x14ac:dyDescent="0.15">
      <c r="A43" s="975" t="s">
        <v>313</v>
      </c>
      <c r="B43" s="976"/>
      <c r="C43" s="977">
        <v>997</v>
      </c>
      <c r="D43" s="977"/>
      <c r="E43" s="66">
        <v>97</v>
      </c>
      <c r="F43" s="66">
        <f t="shared" si="6"/>
        <v>900</v>
      </c>
      <c r="G43" s="66">
        <v>382</v>
      </c>
      <c r="H43" s="66">
        <v>459</v>
      </c>
      <c r="I43" s="66">
        <v>46</v>
      </c>
      <c r="J43" s="66">
        <v>11</v>
      </c>
      <c r="K43" s="66">
        <v>1</v>
      </c>
      <c r="L43" s="295">
        <v>1</v>
      </c>
    </row>
    <row r="44" spans="1:13" ht="17.100000000000001" customHeight="1" x14ac:dyDescent="0.15">
      <c r="A44" s="975" t="s">
        <v>314</v>
      </c>
      <c r="B44" s="976"/>
      <c r="C44" s="977">
        <v>787</v>
      </c>
      <c r="D44" s="977"/>
      <c r="E44" s="66">
        <v>21</v>
      </c>
      <c r="F44" s="66">
        <f t="shared" si="6"/>
        <v>766</v>
      </c>
      <c r="G44" s="66">
        <v>75</v>
      </c>
      <c r="H44" s="66">
        <v>297</v>
      </c>
      <c r="I44" s="66">
        <v>330</v>
      </c>
      <c r="J44" s="66">
        <v>56</v>
      </c>
      <c r="K44" s="66">
        <v>8</v>
      </c>
      <c r="L44" s="544">
        <v>0</v>
      </c>
    </row>
    <row r="45" spans="1:13" ht="17.100000000000001" customHeight="1" x14ac:dyDescent="0.15">
      <c r="A45" s="975" t="s">
        <v>315</v>
      </c>
      <c r="B45" s="976"/>
      <c r="C45" s="977">
        <v>797</v>
      </c>
      <c r="D45" s="977"/>
      <c r="E45" s="66">
        <v>4</v>
      </c>
      <c r="F45" s="66">
        <f t="shared" si="6"/>
        <v>793</v>
      </c>
      <c r="G45" s="66">
        <v>19</v>
      </c>
      <c r="H45" s="66">
        <v>73</v>
      </c>
      <c r="I45" s="66">
        <v>304</v>
      </c>
      <c r="J45" s="66">
        <v>343</v>
      </c>
      <c r="K45" s="66">
        <v>45</v>
      </c>
      <c r="L45" s="295">
        <v>9</v>
      </c>
    </row>
    <row r="46" spans="1:13" ht="17.100000000000001" customHeight="1" x14ac:dyDescent="0.15">
      <c r="A46" s="975" t="s">
        <v>316</v>
      </c>
      <c r="B46" s="976"/>
      <c r="C46" s="977">
        <v>477</v>
      </c>
      <c r="D46" s="977"/>
      <c r="E46" s="336">
        <v>1</v>
      </c>
      <c r="F46" s="66">
        <f t="shared" si="6"/>
        <v>476</v>
      </c>
      <c r="G46" s="66">
        <v>5</v>
      </c>
      <c r="H46" s="66">
        <v>14</v>
      </c>
      <c r="I46" s="66">
        <v>51</v>
      </c>
      <c r="J46" s="66">
        <v>203</v>
      </c>
      <c r="K46" s="66">
        <v>189</v>
      </c>
      <c r="L46" s="295">
        <v>14</v>
      </c>
    </row>
    <row r="47" spans="1:13" s="73" customFormat="1" ht="17.100000000000001" customHeight="1" thickBot="1" x14ac:dyDescent="0.2">
      <c r="A47" s="972" t="s">
        <v>317</v>
      </c>
      <c r="B47" s="973"/>
      <c r="C47" s="974">
        <v>202</v>
      </c>
      <c r="D47" s="974"/>
      <c r="E47" s="337" t="s">
        <v>464</v>
      </c>
      <c r="F47" s="296">
        <f t="shared" si="6"/>
        <v>202</v>
      </c>
      <c r="G47" s="337">
        <v>1</v>
      </c>
      <c r="H47" s="296">
        <v>1</v>
      </c>
      <c r="I47" s="296">
        <v>6</v>
      </c>
      <c r="J47" s="296">
        <v>19</v>
      </c>
      <c r="K47" s="296">
        <v>89</v>
      </c>
      <c r="L47" s="188">
        <v>86</v>
      </c>
    </row>
    <row r="48" spans="1:13" ht="15" customHeight="1" x14ac:dyDescent="0.15">
      <c r="B48" s="6"/>
      <c r="C48" s="6"/>
      <c r="D48" s="6"/>
      <c r="E48" s="6"/>
      <c r="F48" s="6"/>
      <c r="G48" s="6"/>
      <c r="H48" s="6"/>
      <c r="I48" s="6"/>
      <c r="J48" s="6"/>
      <c r="K48" s="6"/>
      <c r="L48" s="7" t="s">
        <v>628</v>
      </c>
      <c r="M48" s="6"/>
    </row>
  </sheetData>
  <sheetProtection sheet="1" objects="1" scenarios="1"/>
  <mergeCells count="25">
    <mergeCell ref="E3:H3"/>
    <mergeCell ref="I3:L3"/>
    <mergeCell ref="A37:B37"/>
    <mergeCell ref="C37:D38"/>
    <mergeCell ref="F37:L37"/>
    <mergeCell ref="A38:B38"/>
    <mergeCell ref="A42:B42"/>
    <mergeCell ref="C42:D42"/>
    <mergeCell ref="A3:A4"/>
    <mergeCell ref="B3:D3"/>
    <mergeCell ref="A39:B39"/>
    <mergeCell ref="C39:D39"/>
    <mergeCell ref="A40:B40"/>
    <mergeCell ref="A41:B41"/>
    <mergeCell ref="C41:D41"/>
    <mergeCell ref="A47:B47"/>
    <mergeCell ref="C47:D47"/>
    <mergeCell ref="A43:B43"/>
    <mergeCell ref="C43:D43"/>
    <mergeCell ref="A44:B44"/>
    <mergeCell ref="C44:D44"/>
    <mergeCell ref="A45:B45"/>
    <mergeCell ref="C45:D45"/>
    <mergeCell ref="A46:B46"/>
    <mergeCell ref="C46:D46"/>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9"/>
  <sheetViews>
    <sheetView view="pageBreakPreview" zoomScale="90" zoomScaleNormal="90" zoomScaleSheetLayoutView="90" workbookViewId="0">
      <selection activeCell="K250" sqref="K250"/>
    </sheetView>
  </sheetViews>
  <sheetFormatPr defaultRowHeight="16.5" customHeight="1" x14ac:dyDescent="0.15"/>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customWidth="1"/>
    <col min="25" max="16384" width="9" style="6"/>
  </cols>
  <sheetData>
    <row r="1" spans="1:24" ht="5.0999999999999996" customHeight="1" x14ac:dyDescent="0.15">
      <c r="A1" s="40"/>
      <c r="B1" s="5"/>
      <c r="C1" s="5"/>
      <c r="D1" s="5"/>
      <c r="N1" s="937"/>
      <c r="O1" s="937"/>
      <c r="P1" s="937"/>
      <c r="Q1" s="937"/>
      <c r="R1" s="937"/>
      <c r="S1" s="937"/>
      <c r="T1" s="937"/>
      <c r="U1" s="937"/>
      <c r="V1" s="937"/>
      <c r="W1" s="937"/>
      <c r="X1" s="937"/>
    </row>
    <row r="2" spans="1:24" ht="15" customHeight="1" x14ac:dyDescent="0.15">
      <c r="A2" s="40" t="s">
        <v>319</v>
      </c>
      <c r="B2" s="5"/>
      <c r="C2" s="5"/>
      <c r="D2" s="5"/>
      <c r="N2" s="74"/>
      <c r="O2" s="74"/>
      <c r="P2" s="74"/>
      <c r="Q2" s="74"/>
      <c r="R2" s="74"/>
      <c r="S2" s="74"/>
      <c r="T2" s="74"/>
      <c r="U2" s="74"/>
      <c r="V2" s="74"/>
      <c r="W2" s="74"/>
      <c r="X2" s="74"/>
    </row>
    <row r="3" spans="1:24" ht="5.0999999999999996" customHeight="1" x14ac:dyDescent="0.15">
      <c r="A3" s="40"/>
      <c r="B3" s="5"/>
      <c r="C3" s="5"/>
      <c r="D3" s="5"/>
      <c r="N3" s="74"/>
      <c r="O3" s="74"/>
      <c r="P3" s="74"/>
      <c r="Q3" s="74"/>
      <c r="R3" s="74"/>
      <c r="S3" s="74"/>
      <c r="T3" s="74"/>
      <c r="U3" s="74"/>
      <c r="V3" s="74"/>
      <c r="W3" s="74"/>
      <c r="X3" s="74"/>
    </row>
    <row r="4" spans="1:24" s="73" customFormat="1" ht="60" customHeight="1" x14ac:dyDescent="0.15">
      <c r="A4" s="989" t="s">
        <v>666</v>
      </c>
      <c r="B4" s="989"/>
      <c r="C4" s="989"/>
      <c r="D4" s="989"/>
      <c r="E4" s="989"/>
      <c r="F4" s="989"/>
      <c r="G4" s="989"/>
      <c r="H4" s="989"/>
      <c r="I4" s="989"/>
      <c r="J4" s="989"/>
      <c r="K4" s="989"/>
      <c r="L4" s="989"/>
      <c r="M4" s="75"/>
      <c r="N4" s="935" t="s">
        <v>640</v>
      </c>
      <c r="O4" s="935"/>
      <c r="P4" s="935"/>
      <c r="Q4" s="935"/>
      <c r="R4" s="935"/>
      <c r="S4" s="935"/>
      <c r="T4" s="935"/>
      <c r="U4" s="935"/>
      <c r="V4" s="935"/>
      <c r="W4" s="935"/>
      <c r="X4" s="935"/>
    </row>
    <row r="5" spans="1:24" ht="12" customHeight="1" x14ac:dyDescent="0.15">
      <c r="A5" s="989"/>
      <c r="B5" s="989"/>
      <c r="C5" s="989"/>
      <c r="D5" s="989"/>
      <c r="E5" s="989"/>
      <c r="F5" s="989"/>
      <c r="G5" s="989"/>
      <c r="H5" s="989"/>
      <c r="I5" s="989"/>
      <c r="J5" s="989"/>
      <c r="K5" s="989"/>
      <c r="L5" s="989"/>
      <c r="N5" s="5" t="s">
        <v>30</v>
      </c>
    </row>
    <row r="6" spans="1:24" ht="15" customHeight="1" thickBot="1" x14ac:dyDescent="0.2">
      <c r="A6" s="13" t="s">
        <v>320</v>
      </c>
      <c r="L6" s="7" t="s">
        <v>28</v>
      </c>
      <c r="N6" s="5" t="s">
        <v>321</v>
      </c>
      <c r="X6" s="7"/>
    </row>
    <row r="7" spans="1:24" ht="20.100000000000001" customHeight="1" x14ac:dyDescent="0.15">
      <c r="A7" s="912" t="s">
        <v>322</v>
      </c>
      <c r="B7" s="913"/>
      <c r="C7" s="1025" t="s">
        <v>474</v>
      </c>
      <c r="D7" s="1025"/>
      <c r="E7" s="1025"/>
      <c r="F7" s="1025"/>
      <c r="G7" s="1025" t="s">
        <v>475</v>
      </c>
      <c r="H7" s="1025"/>
      <c r="I7" s="1025"/>
      <c r="J7" s="1025" t="s">
        <v>476</v>
      </c>
      <c r="K7" s="1025"/>
      <c r="L7" s="1026"/>
      <c r="M7" s="7"/>
      <c r="N7" s="912" t="s">
        <v>323</v>
      </c>
      <c r="O7" s="913"/>
      <c r="P7" s="913"/>
      <c r="Q7" s="913" t="s">
        <v>324</v>
      </c>
      <c r="R7" s="913"/>
      <c r="S7" s="913" t="s">
        <v>325</v>
      </c>
      <c r="T7" s="913"/>
      <c r="U7" s="913" t="s">
        <v>326</v>
      </c>
      <c r="V7" s="913"/>
      <c r="W7" s="913" t="s">
        <v>327</v>
      </c>
      <c r="X7" s="983"/>
    </row>
    <row r="8" spans="1:24" ht="20.100000000000001" customHeight="1" x14ac:dyDescent="0.15">
      <c r="A8" s="914"/>
      <c r="B8" s="915"/>
      <c r="C8" s="1019" t="s">
        <v>328</v>
      </c>
      <c r="D8" s="1019"/>
      <c r="E8" s="1019"/>
      <c r="F8" s="1019"/>
      <c r="G8" s="1019" t="s">
        <v>29</v>
      </c>
      <c r="H8" s="1019"/>
      <c r="I8" s="1019"/>
      <c r="J8" s="1019" t="s">
        <v>329</v>
      </c>
      <c r="K8" s="1019"/>
      <c r="L8" s="1020"/>
      <c r="M8" s="76"/>
      <c r="N8" s="1038" t="s">
        <v>636</v>
      </c>
      <c r="O8" s="1039"/>
      <c r="P8" s="1040"/>
      <c r="Q8" s="1041">
        <v>32</v>
      </c>
      <c r="R8" s="1027"/>
      <c r="S8" s="1027">
        <v>14.5</v>
      </c>
      <c r="T8" s="1027"/>
      <c r="U8" s="1027">
        <v>46.5</v>
      </c>
      <c r="V8" s="1027"/>
      <c r="W8" s="1027">
        <v>45.3</v>
      </c>
      <c r="X8" s="1037"/>
    </row>
    <row r="9" spans="1:24" ht="20.100000000000001" customHeight="1" x14ac:dyDescent="0.15">
      <c r="A9" s="914"/>
      <c r="B9" s="915"/>
      <c r="C9" s="915" t="s">
        <v>457</v>
      </c>
      <c r="D9" s="915"/>
      <c r="E9" s="915"/>
      <c r="F9" s="4" t="s">
        <v>330</v>
      </c>
      <c r="G9" s="915" t="s">
        <v>457</v>
      </c>
      <c r="H9" s="915"/>
      <c r="I9" s="4" t="s">
        <v>330</v>
      </c>
      <c r="J9" s="915" t="s">
        <v>457</v>
      </c>
      <c r="K9" s="915"/>
      <c r="L9" s="182" t="s">
        <v>330</v>
      </c>
      <c r="M9" s="36"/>
      <c r="N9" s="981" t="s">
        <v>637</v>
      </c>
      <c r="O9" s="900"/>
      <c r="P9" s="1000"/>
      <c r="Q9" s="1042">
        <v>30.2</v>
      </c>
      <c r="R9" s="1033"/>
      <c r="S9" s="1033">
        <v>18.5</v>
      </c>
      <c r="T9" s="1033"/>
      <c r="U9" s="1033">
        <v>48.6</v>
      </c>
      <c r="V9" s="1033"/>
      <c r="W9" s="1033">
        <v>61.2</v>
      </c>
      <c r="X9" s="1035"/>
    </row>
    <row r="10" spans="1:24" ht="20.100000000000001" customHeight="1" x14ac:dyDescent="0.15">
      <c r="A10" s="1021" t="s">
        <v>630</v>
      </c>
      <c r="B10" s="1022"/>
      <c r="C10" s="1023">
        <v>21892</v>
      </c>
      <c r="D10" s="1024"/>
      <c r="E10" s="1024"/>
      <c r="F10" s="252">
        <v>11286</v>
      </c>
      <c r="G10" s="1023">
        <v>68413</v>
      </c>
      <c r="H10" s="1024"/>
      <c r="I10" s="252">
        <v>33660</v>
      </c>
      <c r="J10" s="1023">
        <v>9917</v>
      </c>
      <c r="K10" s="1024"/>
      <c r="L10" s="253">
        <v>4165</v>
      </c>
      <c r="M10" s="57"/>
      <c r="N10" s="981" t="s">
        <v>639</v>
      </c>
      <c r="O10" s="900"/>
      <c r="P10" s="1000"/>
      <c r="Q10" s="994">
        <v>29.3</v>
      </c>
      <c r="R10" s="994"/>
      <c r="S10" s="1033">
        <v>21.8</v>
      </c>
      <c r="T10" s="1033"/>
      <c r="U10" s="1032">
        <v>51.1</v>
      </c>
      <c r="V10" s="1032"/>
      <c r="W10" s="1034">
        <v>74.5</v>
      </c>
      <c r="X10" s="1035"/>
    </row>
    <row r="11" spans="1:24" ht="20.100000000000001" customHeight="1" thickBot="1" x14ac:dyDescent="0.2">
      <c r="A11" s="183"/>
      <c r="B11" s="78"/>
      <c r="C11" s="479"/>
      <c r="D11" s="479"/>
      <c r="E11" s="479"/>
      <c r="F11" s="252"/>
      <c r="G11" s="479"/>
      <c r="H11" s="479"/>
      <c r="I11" s="252"/>
      <c r="J11" s="479"/>
      <c r="K11" s="479"/>
      <c r="L11" s="253"/>
      <c r="M11" s="79"/>
      <c r="N11" s="1015" t="s">
        <v>638</v>
      </c>
      <c r="O11" s="1016"/>
      <c r="P11" s="1017"/>
      <c r="Q11" s="1036">
        <v>28.8</v>
      </c>
      <c r="R11" s="1036"/>
      <c r="S11" s="1031">
        <v>26.8</v>
      </c>
      <c r="T11" s="1031"/>
      <c r="U11" s="1030">
        <v>55.6</v>
      </c>
      <c r="V11" s="1030"/>
      <c r="W11" s="1028">
        <v>93.1</v>
      </c>
      <c r="X11" s="1029"/>
    </row>
    <row r="12" spans="1:24" ht="20.100000000000001" customHeight="1" x14ac:dyDescent="0.15">
      <c r="A12" s="1011" t="s">
        <v>631</v>
      </c>
      <c r="B12" s="1012"/>
      <c r="C12" s="1013">
        <v>21528</v>
      </c>
      <c r="D12" s="1014"/>
      <c r="E12" s="1014"/>
      <c r="F12" s="252">
        <v>11208</v>
      </c>
      <c r="G12" s="1013">
        <v>71343</v>
      </c>
      <c r="H12" s="1014"/>
      <c r="I12" s="252">
        <v>35226</v>
      </c>
      <c r="J12" s="1013">
        <v>13169</v>
      </c>
      <c r="K12" s="1014"/>
      <c r="L12" s="253">
        <v>5689</v>
      </c>
      <c r="M12" s="79"/>
      <c r="X12" s="7" t="s">
        <v>613</v>
      </c>
    </row>
    <row r="13" spans="1:24" ht="20.100000000000001" customHeight="1" x14ac:dyDescent="0.15">
      <c r="A13" s="183"/>
      <c r="B13" s="78"/>
      <c r="C13" s="479"/>
      <c r="D13" s="479"/>
      <c r="E13" s="479"/>
      <c r="F13" s="252"/>
      <c r="G13" s="479"/>
      <c r="H13" s="479"/>
      <c r="I13" s="252"/>
      <c r="J13" s="479"/>
      <c r="K13" s="479"/>
      <c r="L13" s="253"/>
      <c r="M13" s="79"/>
      <c r="N13" s="80"/>
      <c r="P13" s="1018" t="s">
        <v>331</v>
      </c>
      <c r="Q13" s="1018"/>
      <c r="V13" s="81" t="s">
        <v>332</v>
      </c>
    </row>
    <row r="14" spans="1:24" ht="20.100000000000001" customHeight="1" x14ac:dyDescent="0.15">
      <c r="A14" s="1011" t="s">
        <v>632</v>
      </c>
      <c r="B14" s="1012"/>
      <c r="C14" s="1013">
        <v>21264</v>
      </c>
      <c r="D14" s="1014"/>
      <c r="E14" s="1014"/>
      <c r="F14" s="252">
        <v>10962</v>
      </c>
      <c r="G14" s="1013">
        <v>72687</v>
      </c>
      <c r="H14" s="1014"/>
      <c r="I14" s="252">
        <v>35732</v>
      </c>
      <c r="J14" s="1013">
        <v>15846</v>
      </c>
      <c r="K14" s="1014"/>
      <c r="L14" s="253">
        <v>6910</v>
      </c>
      <c r="M14" s="79"/>
      <c r="N14" s="5" t="s">
        <v>333</v>
      </c>
      <c r="O14" s="22"/>
      <c r="P14" s="82"/>
      <c r="Q14" s="5" t="s">
        <v>334</v>
      </c>
      <c r="R14" s="5" t="s">
        <v>335</v>
      </c>
      <c r="T14" s="5" t="s">
        <v>336</v>
      </c>
      <c r="W14" s="5" t="s">
        <v>337</v>
      </c>
    </row>
    <row r="15" spans="1:24" ht="20.100000000000001" customHeight="1" x14ac:dyDescent="0.15">
      <c r="A15" s="183"/>
      <c r="B15" s="78"/>
      <c r="C15" s="254"/>
      <c r="D15" s="254"/>
      <c r="E15" s="254"/>
      <c r="F15" s="252"/>
      <c r="G15" s="254"/>
      <c r="H15" s="254"/>
      <c r="I15" s="252"/>
      <c r="J15" s="254"/>
      <c r="K15" s="254"/>
      <c r="L15" s="253"/>
      <c r="M15" s="79"/>
      <c r="N15" s="62"/>
      <c r="O15" s="82"/>
      <c r="P15" s="1004" t="s">
        <v>338</v>
      </c>
      <c r="Q15" s="1004"/>
      <c r="V15" s="83" t="s">
        <v>338</v>
      </c>
    </row>
    <row r="16" spans="1:24" ht="20.100000000000001" customHeight="1" thickBot="1" x14ac:dyDescent="0.2">
      <c r="A16" s="1008" t="s">
        <v>633</v>
      </c>
      <c r="B16" s="1009"/>
      <c r="C16" s="1010">
        <v>20910</v>
      </c>
      <c r="D16" s="1010"/>
      <c r="E16" s="1010"/>
      <c r="F16" s="255">
        <v>10642</v>
      </c>
      <c r="G16" s="1010">
        <v>72626</v>
      </c>
      <c r="H16" s="1010"/>
      <c r="I16" s="255">
        <v>35553</v>
      </c>
      <c r="J16" s="1010">
        <v>19476</v>
      </c>
      <c r="K16" s="1010"/>
      <c r="L16" s="256">
        <v>8649</v>
      </c>
      <c r="M16" s="79"/>
    </row>
    <row r="17" spans="1:24" ht="20.100000000000001" customHeight="1" x14ac:dyDescent="0.15">
      <c r="A17" s="5" t="s">
        <v>339</v>
      </c>
      <c r="L17" s="7" t="s">
        <v>628</v>
      </c>
      <c r="M17" s="79"/>
      <c r="N17" s="5" t="s">
        <v>340</v>
      </c>
      <c r="O17" s="82"/>
      <c r="P17" s="80" t="s">
        <v>341</v>
      </c>
      <c r="Q17" s="84"/>
      <c r="U17" s="80" t="s">
        <v>342</v>
      </c>
    </row>
    <row r="18" spans="1:24" ht="20.100000000000001" customHeight="1" x14ac:dyDescent="0.15">
      <c r="H18" s="288"/>
      <c r="M18" s="7"/>
      <c r="N18" s="5" t="s">
        <v>343</v>
      </c>
      <c r="O18" s="22"/>
      <c r="S18" s="22" t="s">
        <v>344</v>
      </c>
      <c r="T18" s="5" t="s">
        <v>345</v>
      </c>
      <c r="U18" s="22"/>
      <c r="W18" s="5" t="s">
        <v>346</v>
      </c>
    </row>
    <row r="19" spans="1:24" ht="20.100000000000001" customHeight="1" x14ac:dyDescent="0.15">
      <c r="A19" s="5"/>
      <c r="N19" s="62"/>
      <c r="Q19" s="83" t="s">
        <v>338</v>
      </c>
      <c r="U19" s="1005" t="s">
        <v>331</v>
      </c>
      <c r="V19" s="1005"/>
    </row>
    <row r="20" spans="1:24" ht="12" customHeight="1" x14ac:dyDescent="0.15">
      <c r="A20" s="5"/>
      <c r="N20" s="62"/>
      <c r="Q20" s="83"/>
      <c r="U20" s="85"/>
      <c r="V20" s="85"/>
    </row>
    <row r="21" spans="1:24" ht="15" customHeight="1" thickBot="1" x14ac:dyDescent="0.2">
      <c r="A21" s="13" t="s">
        <v>347</v>
      </c>
      <c r="M21" s="82"/>
      <c r="X21" s="7" t="s">
        <v>200</v>
      </c>
    </row>
    <row r="22" spans="1:24" ht="30" customHeight="1" x14ac:dyDescent="0.15">
      <c r="A22" s="184" t="s">
        <v>348</v>
      </c>
      <c r="B22" s="185"/>
      <c r="C22" s="186"/>
      <c r="D22" s="813" t="s">
        <v>349</v>
      </c>
      <c r="E22" s="813"/>
      <c r="F22" s="173" t="s">
        <v>350</v>
      </c>
      <c r="G22" s="173" t="s">
        <v>351</v>
      </c>
      <c r="H22" s="173" t="s">
        <v>352</v>
      </c>
      <c r="I22" s="173" t="s">
        <v>353</v>
      </c>
      <c r="J22" s="173" t="s">
        <v>299</v>
      </c>
      <c r="K22" s="173" t="s">
        <v>300</v>
      </c>
      <c r="L22" s="312" t="s">
        <v>301</v>
      </c>
      <c r="M22" s="371"/>
      <c r="N22" s="372" t="s">
        <v>354</v>
      </c>
      <c r="O22" s="173" t="s">
        <v>355</v>
      </c>
      <c r="P22" s="173" t="s">
        <v>356</v>
      </c>
      <c r="Q22" s="173" t="s">
        <v>357</v>
      </c>
      <c r="R22" s="173" t="s">
        <v>358</v>
      </c>
      <c r="S22" s="173" t="s">
        <v>312</v>
      </c>
      <c r="T22" s="173" t="s">
        <v>313</v>
      </c>
      <c r="U22" s="173" t="s">
        <v>314</v>
      </c>
      <c r="V22" s="173" t="s">
        <v>315</v>
      </c>
      <c r="W22" s="173" t="s">
        <v>359</v>
      </c>
      <c r="X22" s="154" t="s">
        <v>360</v>
      </c>
    </row>
    <row r="23" spans="1:24" ht="24" customHeight="1" x14ac:dyDescent="0.15">
      <c r="A23" s="472" t="s">
        <v>361</v>
      </c>
      <c r="B23" s="1001" t="s">
        <v>362</v>
      </c>
      <c r="C23" s="1002"/>
      <c r="D23" s="1006">
        <f>SUM(F23:X23)</f>
        <v>100.00000000000001</v>
      </c>
      <c r="E23" s="1007"/>
      <c r="F23" s="473">
        <f>F24/$D$24*100</f>
        <v>7.5262327953744625</v>
      </c>
      <c r="G23" s="473">
        <f t="shared" ref="G23:L23" si="0">G24/$D$24*100</f>
        <v>6.943173632877139</v>
      </c>
      <c r="H23" s="473">
        <f t="shared" si="0"/>
        <v>6.839994549029532</v>
      </c>
      <c r="I23" s="473">
        <f t="shared" si="0"/>
        <v>6.9266260439581835</v>
      </c>
      <c r="J23" s="473">
        <f t="shared" si="0"/>
        <v>6.1985321315241304</v>
      </c>
      <c r="K23" s="473">
        <f t="shared" si="0"/>
        <v>8.5142211925944675</v>
      </c>
      <c r="L23" s="473">
        <f t="shared" si="0"/>
        <v>8.3331711020694232</v>
      </c>
      <c r="M23" s="86"/>
      <c r="N23" s="478">
        <f>N24/$D$24*100</f>
        <v>7.575875562131329</v>
      </c>
      <c r="O23" s="478">
        <f t="shared" ref="O23:X23" si="1">O24/$D$24*100</f>
        <v>6.8672494013666361</v>
      </c>
      <c r="P23" s="478">
        <f t="shared" si="1"/>
        <v>7.1514785757392882</v>
      </c>
      <c r="Q23" s="478">
        <f t="shared" si="1"/>
        <v>6.0067747775809375</v>
      </c>
      <c r="R23" s="478">
        <f t="shared" si="1"/>
        <v>4.4055522027761018</v>
      </c>
      <c r="S23" s="478">
        <f t="shared" si="1"/>
        <v>4.6128837580547826</v>
      </c>
      <c r="T23" s="478">
        <f t="shared" si="1"/>
        <v>3.7163937936807683</v>
      </c>
      <c r="U23" s="478">
        <f t="shared" si="1"/>
        <v>2.382852804329628</v>
      </c>
      <c r="V23" s="478">
        <f t="shared" si="1"/>
        <v>1.5136176922927171</v>
      </c>
      <c r="W23" s="478">
        <f t="shared" si="1"/>
        <v>2.040220374948897</v>
      </c>
      <c r="X23" s="311">
        <f t="shared" si="1"/>
        <v>2.4451496096715792</v>
      </c>
    </row>
    <row r="24" spans="1:24" s="340" customFormat="1" ht="24" customHeight="1" x14ac:dyDescent="0.15">
      <c r="A24" s="472" t="s">
        <v>363</v>
      </c>
      <c r="B24" s="997" t="s">
        <v>364</v>
      </c>
      <c r="C24" s="998"/>
      <c r="D24" s="996">
        <f t="shared" ref="D24:D36" si="2">SUM(F24:X24)</f>
        <v>102734</v>
      </c>
      <c r="E24" s="999"/>
      <c r="F24" s="476">
        <f t="shared" ref="F24:L24" si="3">F25+F26</f>
        <v>7732</v>
      </c>
      <c r="G24" s="476">
        <f t="shared" si="3"/>
        <v>7133</v>
      </c>
      <c r="H24" s="476">
        <f t="shared" si="3"/>
        <v>7027</v>
      </c>
      <c r="I24" s="476">
        <f t="shared" si="3"/>
        <v>7116</v>
      </c>
      <c r="J24" s="476">
        <f t="shared" si="3"/>
        <v>6368</v>
      </c>
      <c r="K24" s="476">
        <f t="shared" si="3"/>
        <v>8747</v>
      </c>
      <c r="L24" s="476">
        <f t="shared" si="3"/>
        <v>8561</v>
      </c>
      <c r="M24" s="476"/>
      <c r="N24" s="476">
        <f t="shared" ref="N24:X24" si="4">N25+N26</f>
        <v>7783</v>
      </c>
      <c r="O24" s="476">
        <f t="shared" si="4"/>
        <v>7055</v>
      </c>
      <c r="P24" s="476">
        <f t="shared" si="4"/>
        <v>7347</v>
      </c>
      <c r="Q24" s="476">
        <f t="shared" si="4"/>
        <v>6171</v>
      </c>
      <c r="R24" s="476">
        <f t="shared" si="4"/>
        <v>4526</v>
      </c>
      <c r="S24" s="476">
        <f t="shared" si="4"/>
        <v>4739</v>
      </c>
      <c r="T24" s="476">
        <f t="shared" si="4"/>
        <v>3818</v>
      </c>
      <c r="U24" s="476">
        <f t="shared" si="4"/>
        <v>2448</v>
      </c>
      <c r="V24" s="476">
        <f t="shared" si="4"/>
        <v>1555</v>
      </c>
      <c r="W24" s="476">
        <f t="shared" si="4"/>
        <v>2096</v>
      </c>
      <c r="X24" s="157">
        <f t="shared" si="4"/>
        <v>2512</v>
      </c>
    </row>
    <row r="25" spans="1:24" ht="24" customHeight="1" x14ac:dyDescent="0.15">
      <c r="A25" s="177" t="s">
        <v>634</v>
      </c>
      <c r="B25" s="982" t="s">
        <v>21</v>
      </c>
      <c r="C25" s="1000"/>
      <c r="D25" s="990">
        <f t="shared" si="2"/>
        <v>50440</v>
      </c>
      <c r="E25" s="991"/>
      <c r="F25" s="475">
        <v>4013</v>
      </c>
      <c r="G25" s="475">
        <v>3646</v>
      </c>
      <c r="H25" s="475">
        <v>3627</v>
      </c>
      <c r="I25" s="475">
        <v>3646</v>
      </c>
      <c r="J25" s="475">
        <v>3060</v>
      </c>
      <c r="K25" s="475">
        <v>4182</v>
      </c>
      <c r="L25" s="475">
        <v>4124</v>
      </c>
      <c r="M25" s="475"/>
      <c r="N25" s="475">
        <v>3850</v>
      </c>
      <c r="O25" s="475">
        <v>3548</v>
      </c>
      <c r="P25" s="475">
        <v>3621</v>
      </c>
      <c r="Q25" s="475">
        <v>3094</v>
      </c>
      <c r="R25" s="475">
        <v>2210</v>
      </c>
      <c r="S25" s="475">
        <v>2325</v>
      </c>
      <c r="T25" s="475">
        <v>1868</v>
      </c>
      <c r="U25" s="475">
        <v>1096</v>
      </c>
      <c r="V25" s="475">
        <v>611</v>
      </c>
      <c r="W25" s="475">
        <v>590</v>
      </c>
      <c r="X25" s="148">
        <v>1329</v>
      </c>
    </row>
    <row r="26" spans="1:24" ht="24" customHeight="1" x14ac:dyDescent="0.15">
      <c r="A26" s="477" t="s">
        <v>365</v>
      </c>
      <c r="B26" s="987" t="s">
        <v>22</v>
      </c>
      <c r="C26" s="988"/>
      <c r="D26" s="990">
        <f t="shared" si="2"/>
        <v>52294</v>
      </c>
      <c r="E26" s="991"/>
      <c r="F26" s="475">
        <v>3719</v>
      </c>
      <c r="G26" s="475">
        <v>3487</v>
      </c>
      <c r="H26" s="475">
        <v>3400</v>
      </c>
      <c r="I26" s="475">
        <v>3470</v>
      </c>
      <c r="J26" s="475">
        <v>3308</v>
      </c>
      <c r="K26" s="475">
        <v>4565</v>
      </c>
      <c r="L26" s="475">
        <v>4437</v>
      </c>
      <c r="M26" s="475"/>
      <c r="N26" s="475">
        <v>3933</v>
      </c>
      <c r="O26" s="475">
        <v>3507</v>
      </c>
      <c r="P26" s="475">
        <v>3726</v>
      </c>
      <c r="Q26" s="475">
        <v>3077</v>
      </c>
      <c r="R26" s="475">
        <v>2316</v>
      </c>
      <c r="S26" s="475">
        <v>2414</v>
      </c>
      <c r="T26" s="475">
        <v>1950</v>
      </c>
      <c r="U26" s="475">
        <v>1352</v>
      </c>
      <c r="V26" s="475">
        <v>944</v>
      </c>
      <c r="W26" s="475">
        <v>1506</v>
      </c>
      <c r="X26" s="148">
        <v>1183</v>
      </c>
    </row>
    <row r="27" spans="1:24" ht="24" customHeight="1" x14ac:dyDescent="0.15">
      <c r="A27" s="472" t="s">
        <v>361</v>
      </c>
      <c r="B27" s="1001" t="s">
        <v>362</v>
      </c>
      <c r="C27" s="1002"/>
      <c r="D27" s="994">
        <f t="shared" si="2"/>
        <v>100.00000000000001</v>
      </c>
      <c r="E27" s="1003"/>
      <c r="F27" s="473">
        <f>F28/$D$28*100</f>
        <v>6.9090703354109895</v>
      </c>
      <c r="G27" s="473">
        <f t="shared" ref="G27:L27" si="5">G28/$D$28*100</f>
        <v>6.8770096842025854</v>
      </c>
      <c r="H27" s="473">
        <f t="shared" si="5"/>
        <v>6.5139699572838969</v>
      </c>
      <c r="I27" s="473">
        <f t="shared" si="5"/>
        <v>6.4121302416807326</v>
      </c>
      <c r="J27" s="473">
        <f t="shared" si="5"/>
        <v>6.0868089279484012</v>
      </c>
      <c r="K27" s="473">
        <f t="shared" si="5"/>
        <v>7.2598515780441115</v>
      </c>
      <c r="L27" s="473">
        <f t="shared" si="5"/>
        <v>8.9562372111005288</v>
      </c>
      <c r="M27" s="86"/>
      <c r="N27" s="473">
        <f>N28/$D$28*100</f>
        <v>7.9189808484757043</v>
      </c>
      <c r="O27" s="473">
        <f t="shared" ref="O27:X27" si="6">O28/$D$28*100</f>
        <v>7.0976624013427765</v>
      </c>
      <c r="P27" s="473">
        <f t="shared" si="6"/>
        <v>6.5601750134371848</v>
      </c>
      <c r="Q27" s="473">
        <f t="shared" si="6"/>
        <v>6.9062414544220125</v>
      </c>
      <c r="R27" s="473">
        <f t="shared" si="6"/>
        <v>5.7869475431168613</v>
      </c>
      <c r="S27" s="473">
        <f t="shared" si="6"/>
        <v>4.2885835792888187</v>
      </c>
      <c r="T27" s="473">
        <f t="shared" si="6"/>
        <v>4.3762788899471001</v>
      </c>
      <c r="U27" s="473">
        <f t="shared" si="6"/>
        <v>3.3776839008382917</v>
      </c>
      <c r="V27" s="473">
        <f t="shared" si="6"/>
        <v>2.1131740987656649</v>
      </c>
      <c r="W27" s="473">
        <f t="shared" si="6"/>
        <v>2.5507076917274092</v>
      </c>
      <c r="X27" s="474">
        <f t="shared" si="6"/>
        <v>8.4866429669303804E-3</v>
      </c>
    </row>
    <row r="28" spans="1:24" s="340" customFormat="1" ht="24" customHeight="1" x14ac:dyDescent="0.15">
      <c r="A28" s="472" t="s">
        <v>363</v>
      </c>
      <c r="B28" s="997" t="s">
        <v>364</v>
      </c>
      <c r="C28" s="998"/>
      <c r="D28" s="996">
        <f t="shared" si="2"/>
        <v>106049</v>
      </c>
      <c r="E28" s="999"/>
      <c r="F28" s="476">
        <f t="shared" ref="F28:L28" si="7">F29+F30</f>
        <v>7327</v>
      </c>
      <c r="G28" s="476">
        <f t="shared" si="7"/>
        <v>7293</v>
      </c>
      <c r="H28" s="476">
        <f t="shared" si="7"/>
        <v>6908</v>
      </c>
      <c r="I28" s="476">
        <f t="shared" si="7"/>
        <v>6800</v>
      </c>
      <c r="J28" s="476">
        <f t="shared" si="7"/>
        <v>6455</v>
      </c>
      <c r="K28" s="476">
        <f t="shared" si="7"/>
        <v>7699</v>
      </c>
      <c r="L28" s="476">
        <f t="shared" si="7"/>
        <v>9498</v>
      </c>
      <c r="M28" s="476"/>
      <c r="N28" s="476">
        <f t="shared" ref="N28:X28" si="8">N29+N30</f>
        <v>8398</v>
      </c>
      <c r="O28" s="476">
        <f t="shared" si="8"/>
        <v>7527</v>
      </c>
      <c r="P28" s="476">
        <f t="shared" si="8"/>
        <v>6957</v>
      </c>
      <c r="Q28" s="476">
        <f t="shared" si="8"/>
        <v>7324</v>
      </c>
      <c r="R28" s="476">
        <f t="shared" si="8"/>
        <v>6137</v>
      </c>
      <c r="S28" s="476">
        <f t="shared" si="8"/>
        <v>4548</v>
      </c>
      <c r="T28" s="476">
        <f t="shared" si="8"/>
        <v>4641</v>
      </c>
      <c r="U28" s="476">
        <f t="shared" si="8"/>
        <v>3582</v>
      </c>
      <c r="V28" s="476">
        <f t="shared" si="8"/>
        <v>2241</v>
      </c>
      <c r="W28" s="476">
        <f t="shared" si="8"/>
        <v>2705</v>
      </c>
      <c r="X28" s="157">
        <f t="shared" si="8"/>
        <v>9</v>
      </c>
    </row>
    <row r="29" spans="1:24" ht="24" customHeight="1" x14ac:dyDescent="0.15">
      <c r="A29" s="472">
        <v>17</v>
      </c>
      <c r="B29" s="982" t="s">
        <v>21</v>
      </c>
      <c r="C29" s="1000"/>
      <c r="D29" s="990">
        <f t="shared" si="2"/>
        <v>52128</v>
      </c>
      <c r="E29" s="991"/>
      <c r="F29" s="475">
        <v>3811</v>
      </c>
      <c r="G29" s="475">
        <v>3814</v>
      </c>
      <c r="H29" s="475">
        <v>3583</v>
      </c>
      <c r="I29" s="475">
        <v>3479</v>
      </c>
      <c r="J29" s="475">
        <v>3196</v>
      </c>
      <c r="K29" s="475">
        <v>3739</v>
      </c>
      <c r="L29" s="475">
        <v>4660</v>
      </c>
      <c r="M29" s="475"/>
      <c r="N29" s="475">
        <v>4053</v>
      </c>
      <c r="O29" s="475">
        <v>3688</v>
      </c>
      <c r="P29" s="475">
        <v>3527</v>
      </c>
      <c r="Q29" s="475">
        <v>3596</v>
      </c>
      <c r="R29" s="475">
        <v>3086</v>
      </c>
      <c r="S29" s="475">
        <v>2202</v>
      </c>
      <c r="T29" s="475">
        <v>2241</v>
      </c>
      <c r="U29" s="475">
        <v>1692</v>
      </c>
      <c r="V29" s="475">
        <v>951</v>
      </c>
      <c r="W29" s="475">
        <v>805</v>
      </c>
      <c r="X29" s="148">
        <v>5</v>
      </c>
    </row>
    <row r="30" spans="1:24" ht="24" customHeight="1" x14ac:dyDescent="0.15">
      <c r="A30" s="477" t="s">
        <v>365</v>
      </c>
      <c r="B30" s="987" t="s">
        <v>22</v>
      </c>
      <c r="C30" s="988"/>
      <c r="D30" s="990">
        <f t="shared" si="2"/>
        <v>53921</v>
      </c>
      <c r="E30" s="991"/>
      <c r="F30" s="475">
        <v>3516</v>
      </c>
      <c r="G30" s="475">
        <v>3479</v>
      </c>
      <c r="H30" s="475">
        <v>3325</v>
      </c>
      <c r="I30" s="475">
        <v>3321</v>
      </c>
      <c r="J30" s="475">
        <v>3259</v>
      </c>
      <c r="K30" s="475">
        <v>3960</v>
      </c>
      <c r="L30" s="475">
        <v>4838</v>
      </c>
      <c r="M30" s="475"/>
      <c r="N30" s="475">
        <v>4345</v>
      </c>
      <c r="O30" s="475">
        <v>3839</v>
      </c>
      <c r="P30" s="475">
        <v>3430</v>
      </c>
      <c r="Q30" s="475">
        <v>3728</v>
      </c>
      <c r="R30" s="475">
        <v>3051</v>
      </c>
      <c r="S30" s="475">
        <v>2346</v>
      </c>
      <c r="T30" s="475">
        <v>2400</v>
      </c>
      <c r="U30" s="475">
        <v>1890</v>
      </c>
      <c r="V30" s="475">
        <v>1290</v>
      </c>
      <c r="W30" s="475">
        <v>1900</v>
      </c>
      <c r="X30" s="148">
        <v>4</v>
      </c>
    </row>
    <row r="31" spans="1:24" ht="24" customHeight="1" x14ac:dyDescent="0.15">
      <c r="A31" s="472" t="s">
        <v>361</v>
      </c>
      <c r="B31" s="1001" t="s">
        <v>362</v>
      </c>
      <c r="C31" s="1002"/>
      <c r="D31" s="994">
        <f>SUM(F31:X31)</f>
        <v>100.00000000000001</v>
      </c>
      <c r="E31" s="1003"/>
      <c r="F31" s="473">
        <f>F32/$D$32*100</f>
        <v>6.5074172413480627</v>
      </c>
      <c r="G31" s="473">
        <f t="shared" ref="G31:L31" si="9">G32/$D$32*100</f>
        <v>6.3424889670234075</v>
      </c>
      <c r="H31" s="473">
        <f t="shared" si="9"/>
        <v>6.4195159083288784</v>
      </c>
      <c r="I31" s="473">
        <f t="shared" si="9"/>
        <v>6.0579423838479034</v>
      </c>
      <c r="J31" s="473">
        <f t="shared" si="9"/>
        <v>5.3375139328143835</v>
      </c>
      <c r="K31" s="473">
        <f t="shared" si="9"/>
        <v>6.5916937771293416</v>
      </c>
      <c r="L31" s="473">
        <f t="shared" si="9"/>
        <v>7.2785928537122455</v>
      </c>
      <c r="M31" s="86"/>
      <c r="N31" s="473">
        <f>N32/$D$32*100</f>
        <v>8.5137425125282054</v>
      </c>
      <c r="O31" s="473">
        <f t="shared" ref="O31:X31" si="10">O32/$D$32*100</f>
        <v>7.3746499805167147</v>
      </c>
      <c r="P31" s="473">
        <f t="shared" si="10"/>
        <v>6.6052867667714841</v>
      </c>
      <c r="Q31" s="473">
        <f t="shared" si="10"/>
        <v>6.2038404726735603</v>
      </c>
      <c r="R31" s="473">
        <f t="shared" si="10"/>
        <v>6.4467018876131617</v>
      </c>
      <c r="S31" s="473">
        <f t="shared" si="10"/>
        <v>5.4589446402841846</v>
      </c>
      <c r="T31" s="473">
        <f t="shared" si="10"/>
        <v>3.9555599858632906</v>
      </c>
      <c r="U31" s="473">
        <f t="shared" si="10"/>
        <v>4.019900136836096</v>
      </c>
      <c r="V31" s="473">
        <f t="shared" si="10"/>
        <v>2.9732399343911702</v>
      </c>
      <c r="W31" s="473">
        <f t="shared" si="10"/>
        <v>3.4109342008681391</v>
      </c>
      <c r="X31" s="474">
        <f t="shared" si="10"/>
        <v>0.50203441744977384</v>
      </c>
    </row>
    <row r="32" spans="1:24" s="340" customFormat="1" ht="24" customHeight="1" x14ac:dyDescent="0.15">
      <c r="A32" s="472" t="s">
        <v>363</v>
      </c>
      <c r="B32" s="997" t="s">
        <v>364</v>
      </c>
      <c r="C32" s="998"/>
      <c r="D32" s="996">
        <f t="shared" si="2"/>
        <v>110351</v>
      </c>
      <c r="E32" s="999"/>
      <c r="F32" s="476">
        <f t="shared" ref="F32:L32" si="11">F33+F34</f>
        <v>7181</v>
      </c>
      <c r="G32" s="476">
        <f t="shared" si="11"/>
        <v>6999</v>
      </c>
      <c r="H32" s="476">
        <f t="shared" si="11"/>
        <v>7084</v>
      </c>
      <c r="I32" s="476">
        <f t="shared" si="11"/>
        <v>6685</v>
      </c>
      <c r="J32" s="476">
        <f t="shared" si="11"/>
        <v>5890</v>
      </c>
      <c r="K32" s="476">
        <f t="shared" si="11"/>
        <v>7274</v>
      </c>
      <c r="L32" s="476">
        <f t="shared" si="11"/>
        <v>8032</v>
      </c>
      <c r="M32" s="476"/>
      <c r="N32" s="476">
        <f t="shared" ref="N32:X32" si="12">N33+N34</f>
        <v>9395</v>
      </c>
      <c r="O32" s="476">
        <f t="shared" si="12"/>
        <v>8138</v>
      </c>
      <c r="P32" s="476">
        <f t="shared" si="12"/>
        <v>7289</v>
      </c>
      <c r="Q32" s="476">
        <f t="shared" si="12"/>
        <v>6846</v>
      </c>
      <c r="R32" s="476">
        <f t="shared" si="12"/>
        <v>7114</v>
      </c>
      <c r="S32" s="476">
        <f t="shared" si="12"/>
        <v>6024</v>
      </c>
      <c r="T32" s="476">
        <f t="shared" si="12"/>
        <v>4365</v>
      </c>
      <c r="U32" s="476">
        <f t="shared" si="12"/>
        <v>4436</v>
      </c>
      <c r="V32" s="476">
        <f t="shared" si="12"/>
        <v>3281</v>
      </c>
      <c r="W32" s="476">
        <f t="shared" si="12"/>
        <v>3764</v>
      </c>
      <c r="X32" s="157">
        <f t="shared" si="12"/>
        <v>554</v>
      </c>
    </row>
    <row r="33" spans="1:24" ht="24" customHeight="1" x14ac:dyDescent="0.15">
      <c r="A33" s="472">
        <v>22</v>
      </c>
      <c r="B33" s="982" t="s">
        <v>21</v>
      </c>
      <c r="C33" s="1000"/>
      <c r="D33" s="990">
        <f t="shared" si="2"/>
        <v>53948</v>
      </c>
      <c r="E33" s="991"/>
      <c r="F33" s="475">
        <v>3678</v>
      </c>
      <c r="G33" s="475">
        <v>3637</v>
      </c>
      <c r="H33" s="475">
        <v>3647</v>
      </c>
      <c r="I33" s="475">
        <v>3405</v>
      </c>
      <c r="J33" s="475">
        <v>2967</v>
      </c>
      <c r="K33" s="475">
        <v>3500</v>
      </c>
      <c r="L33" s="475">
        <v>3893</v>
      </c>
      <c r="M33" s="475"/>
      <c r="N33" s="475">
        <v>4653</v>
      </c>
      <c r="O33" s="475">
        <v>3925</v>
      </c>
      <c r="P33" s="475">
        <v>3525</v>
      </c>
      <c r="Q33" s="475">
        <v>3420</v>
      </c>
      <c r="R33" s="475">
        <v>3427</v>
      </c>
      <c r="S33" s="475">
        <v>3017</v>
      </c>
      <c r="T33" s="475">
        <v>2094</v>
      </c>
      <c r="U33" s="475">
        <v>2100</v>
      </c>
      <c r="V33" s="475">
        <v>1477</v>
      </c>
      <c r="W33" s="475">
        <v>1239</v>
      </c>
      <c r="X33" s="148">
        <v>344</v>
      </c>
    </row>
    <row r="34" spans="1:24" ht="24" customHeight="1" x14ac:dyDescent="0.15">
      <c r="A34" s="472" t="s">
        <v>365</v>
      </c>
      <c r="B34" s="987" t="s">
        <v>22</v>
      </c>
      <c r="C34" s="988"/>
      <c r="D34" s="990">
        <f t="shared" si="2"/>
        <v>56403</v>
      </c>
      <c r="E34" s="991"/>
      <c r="F34" s="475">
        <v>3503</v>
      </c>
      <c r="G34" s="475">
        <v>3362</v>
      </c>
      <c r="H34" s="475">
        <v>3437</v>
      </c>
      <c r="I34" s="475">
        <v>3280</v>
      </c>
      <c r="J34" s="475">
        <v>2923</v>
      </c>
      <c r="K34" s="475">
        <v>3774</v>
      </c>
      <c r="L34" s="475">
        <v>4139</v>
      </c>
      <c r="M34" s="475"/>
      <c r="N34" s="475">
        <v>4742</v>
      </c>
      <c r="O34" s="475">
        <v>4213</v>
      </c>
      <c r="P34" s="475">
        <v>3764</v>
      </c>
      <c r="Q34" s="475">
        <v>3426</v>
      </c>
      <c r="R34" s="475">
        <v>3687</v>
      </c>
      <c r="S34" s="475">
        <v>3007</v>
      </c>
      <c r="T34" s="475">
        <v>2271</v>
      </c>
      <c r="U34" s="475">
        <v>2336</v>
      </c>
      <c r="V34" s="475">
        <v>1804</v>
      </c>
      <c r="W34" s="475">
        <v>2525</v>
      </c>
      <c r="X34" s="295">
        <v>210</v>
      </c>
    </row>
    <row r="35" spans="1:24" ht="24" customHeight="1" x14ac:dyDescent="0.15">
      <c r="A35" s="167" t="s">
        <v>361</v>
      </c>
      <c r="B35" s="993" t="s">
        <v>362</v>
      </c>
      <c r="C35" s="993"/>
      <c r="D35" s="994">
        <f>SUM(F35:X35)</f>
        <v>100</v>
      </c>
      <c r="E35" s="994"/>
      <c r="F35" s="282">
        <f>F36/$D$36*100</f>
        <v>6.0429651936410114</v>
      </c>
      <c r="G35" s="282">
        <f t="shared" ref="G35:L35" si="13">G36/$D$36*100</f>
        <v>6.1331325723089849</v>
      </c>
      <c r="H35" s="282">
        <f t="shared" si="13"/>
        <v>6.1287555150920934</v>
      </c>
      <c r="I35" s="282">
        <f t="shared" si="13"/>
        <v>6.04384060508439</v>
      </c>
      <c r="J35" s="282">
        <f t="shared" si="13"/>
        <v>5.1097765949996505</v>
      </c>
      <c r="K35" s="282">
        <f t="shared" si="13"/>
        <v>5.6569087471111423</v>
      </c>
      <c r="L35" s="282">
        <f t="shared" si="13"/>
        <v>6.4736676237831778</v>
      </c>
      <c r="M35" s="86">
        <f>M36/$D$36</f>
        <v>0</v>
      </c>
      <c r="N35" s="282">
        <f>N36/$D$36*100</f>
        <v>6.9603963863015625</v>
      </c>
      <c r="O35" s="282">
        <f t="shared" ref="O35:X35" si="14">O36/$D$36*100</f>
        <v>8.0765459766090064</v>
      </c>
      <c r="P35" s="282">
        <f t="shared" si="14"/>
        <v>6.9989144898102111</v>
      </c>
      <c r="Q35" s="282">
        <f t="shared" si="14"/>
        <v>6.307339449541284</v>
      </c>
      <c r="R35" s="282">
        <f t="shared" si="14"/>
        <v>5.8004762238251972</v>
      </c>
      <c r="S35" s="282">
        <f t="shared" si="14"/>
        <v>6.1497653897331741</v>
      </c>
      <c r="T35" s="282">
        <f t="shared" si="14"/>
        <v>5.1325372925274877</v>
      </c>
      <c r="U35" s="282">
        <f t="shared" si="14"/>
        <v>3.6741018278590936</v>
      </c>
      <c r="V35" s="282">
        <f t="shared" si="14"/>
        <v>3.5909377407381466</v>
      </c>
      <c r="W35" s="282">
        <f t="shared" si="14"/>
        <v>4.6519364101127527</v>
      </c>
      <c r="X35" s="263">
        <f t="shared" si="14"/>
        <v>1.0680019609216331</v>
      </c>
    </row>
    <row r="36" spans="1:24" ht="24" customHeight="1" x14ac:dyDescent="0.15">
      <c r="A36" s="133" t="s">
        <v>363</v>
      </c>
      <c r="B36" s="995" t="s">
        <v>364</v>
      </c>
      <c r="C36" s="995"/>
      <c r="D36" s="996">
        <f t="shared" si="2"/>
        <v>114232</v>
      </c>
      <c r="E36" s="996"/>
      <c r="F36" s="87">
        <f t="shared" ref="F36:L36" si="15">SUM(F37:F38)</f>
        <v>6903</v>
      </c>
      <c r="G36" s="51">
        <f t="shared" si="15"/>
        <v>7006</v>
      </c>
      <c r="H36" s="51">
        <f t="shared" si="15"/>
        <v>7001</v>
      </c>
      <c r="I36" s="51">
        <f t="shared" si="15"/>
        <v>6904</v>
      </c>
      <c r="J36" s="51">
        <f t="shared" si="15"/>
        <v>5837</v>
      </c>
      <c r="K36" s="51">
        <f t="shared" si="15"/>
        <v>6462</v>
      </c>
      <c r="L36" s="51">
        <f t="shared" si="15"/>
        <v>7395</v>
      </c>
      <c r="M36" s="51"/>
      <c r="N36" s="51">
        <f t="shared" ref="N36:X36" si="16">SUM(N37:N38)</f>
        <v>7951</v>
      </c>
      <c r="O36" s="51">
        <f t="shared" si="16"/>
        <v>9226</v>
      </c>
      <c r="P36" s="51">
        <f t="shared" si="16"/>
        <v>7995</v>
      </c>
      <c r="Q36" s="51">
        <f t="shared" si="16"/>
        <v>7205</v>
      </c>
      <c r="R36" s="51">
        <f t="shared" si="16"/>
        <v>6626</v>
      </c>
      <c r="S36" s="51">
        <f t="shared" si="16"/>
        <v>7025</v>
      </c>
      <c r="T36" s="51">
        <f t="shared" si="16"/>
        <v>5863</v>
      </c>
      <c r="U36" s="51">
        <f t="shared" si="16"/>
        <v>4197</v>
      </c>
      <c r="V36" s="51">
        <f t="shared" si="16"/>
        <v>4102</v>
      </c>
      <c r="W36" s="51">
        <f t="shared" si="16"/>
        <v>5314</v>
      </c>
      <c r="X36" s="157">
        <f t="shared" si="16"/>
        <v>1220</v>
      </c>
    </row>
    <row r="37" spans="1:24" ht="24" customHeight="1" x14ac:dyDescent="0.15">
      <c r="A37" s="177" t="s">
        <v>635</v>
      </c>
      <c r="B37" s="976" t="s">
        <v>21</v>
      </c>
      <c r="C37" s="976"/>
      <c r="D37" s="990">
        <v>55471</v>
      </c>
      <c r="E37" s="990"/>
      <c r="F37" s="2">
        <v>3447</v>
      </c>
      <c r="G37" s="2">
        <v>3572</v>
      </c>
      <c r="H37" s="2">
        <v>3623</v>
      </c>
      <c r="I37" s="2">
        <v>3504</v>
      </c>
      <c r="J37" s="2">
        <v>2909</v>
      </c>
      <c r="K37" s="2">
        <v>3200</v>
      </c>
      <c r="L37" s="2">
        <v>3568</v>
      </c>
      <c r="M37" s="2"/>
      <c r="N37" s="2">
        <v>3836</v>
      </c>
      <c r="O37" s="2">
        <v>4533</v>
      </c>
      <c r="P37" s="2">
        <v>3878</v>
      </c>
      <c r="Q37" s="2">
        <v>3463</v>
      </c>
      <c r="R37" s="2">
        <v>3288</v>
      </c>
      <c r="S37" s="2">
        <v>3374</v>
      </c>
      <c r="T37" s="2">
        <v>2883</v>
      </c>
      <c r="U37" s="2">
        <v>1973</v>
      </c>
      <c r="V37" s="2">
        <v>1881</v>
      </c>
      <c r="W37" s="2">
        <v>1912</v>
      </c>
      <c r="X37" s="148">
        <v>627</v>
      </c>
    </row>
    <row r="38" spans="1:24" ht="24" customHeight="1" thickBot="1" x14ac:dyDescent="0.2">
      <c r="A38" s="187" t="s">
        <v>365</v>
      </c>
      <c r="B38" s="973" t="s">
        <v>22</v>
      </c>
      <c r="C38" s="973"/>
      <c r="D38" s="992">
        <v>58761</v>
      </c>
      <c r="E38" s="992"/>
      <c r="F38" s="135">
        <v>3456</v>
      </c>
      <c r="G38" s="135">
        <v>3434</v>
      </c>
      <c r="H38" s="135">
        <v>3378</v>
      </c>
      <c r="I38" s="135">
        <v>3400</v>
      </c>
      <c r="J38" s="135">
        <v>2928</v>
      </c>
      <c r="K38" s="135">
        <v>3262</v>
      </c>
      <c r="L38" s="135">
        <v>3827</v>
      </c>
      <c r="M38" s="135"/>
      <c r="N38" s="135">
        <v>4115</v>
      </c>
      <c r="O38" s="135">
        <v>4693</v>
      </c>
      <c r="P38" s="135">
        <v>4117</v>
      </c>
      <c r="Q38" s="135">
        <v>3742</v>
      </c>
      <c r="R38" s="135">
        <v>3338</v>
      </c>
      <c r="S38" s="135">
        <v>3651</v>
      </c>
      <c r="T38" s="135">
        <v>2980</v>
      </c>
      <c r="U38" s="135">
        <v>2224</v>
      </c>
      <c r="V38" s="135">
        <v>2221</v>
      </c>
      <c r="W38" s="135">
        <v>3402</v>
      </c>
      <c r="X38" s="188">
        <v>593</v>
      </c>
    </row>
    <row r="39" spans="1:24" ht="16.5" customHeight="1" x14ac:dyDescent="0.15">
      <c r="W39" s="338"/>
      <c r="X39" s="339" t="s">
        <v>629</v>
      </c>
    </row>
  </sheetData>
  <sheetProtection sheet="1" objects="1" scenarios="1"/>
  <mergeCells count="90">
    <mergeCell ref="Q8:R8"/>
    <mergeCell ref="S8:T8"/>
    <mergeCell ref="S9:T9"/>
    <mergeCell ref="Q9:R9"/>
    <mergeCell ref="N9:P9"/>
    <mergeCell ref="N4:X4"/>
    <mergeCell ref="N1:X1"/>
    <mergeCell ref="U7:V7"/>
    <mergeCell ref="W7:X7"/>
    <mergeCell ref="N7:P7"/>
    <mergeCell ref="Q7:R7"/>
    <mergeCell ref="S7:T7"/>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G9:H9"/>
    <mergeCell ref="J8:L8"/>
    <mergeCell ref="C8:F8"/>
    <mergeCell ref="A10:B10"/>
    <mergeCell ref="G10:H10"/>
    <mergeCell ref="C10:E10"/>
    <mergeCell ref="A7:B9"/>
    <mergeCell ref="J7:L7"/>
    <mergeCell ref="C9:E9"/>
    <mergeCell ref="C7:F7"/>
    <mergeCell ref="G7:I7"/>
    <mergeCell ref="G8:I8"/>
    <mergeCell ref="P13:Q13"/>
    <mergeCell ref="C14:E14"/>
    <mergeCell ref="G14:H14"/>
    <mergeCell ref="J14:K14"/>
    <mergeCell ref="A14:B14"/>
    <mergeCell ref="A12:B12"/>
    <mergeCell ref="C12:E12"/>
    <mergeCell ref="J12:K12"/>
    <mergeCell ref="N11:P11"/>
    <mergeCell ref="G12:H12"/>
    <mergeCell ref="U19:V19"/>
    <mergeCell ref="D22:E22"/>
    <mergeCell ref="B23:C23"/>
    <mergeCell ref="D23:E23"/>
    <mergeCell ref="A16:B16"/>
    <mergeCell ref="C16:E16"/>
    <mergeCell ref="G16:H16"/>
    <mergeCell ref="J16:K16"/>
    <mergeCell ref="B27:C27"/>
    <mergeCell ref="D27:E27"/>
    <mergeCell ref="B25:C25"/>
    <mergeCell ref="D25:E25"/>
    <mergeCell ref="P15:Q15"/>
    <mergeCell ref="B24:C24"/>
    <mergeCell ref="D24:E24"/>
    <mergeCell ref="B26:C26"/>
    <mergeCell ref="D26:E26"/>
    <mergeCell ref="D30:E30"/>
    <mergeCell ref="B33:C33"/>
    <mergeCell ref="D33:E33"/>
    <mergeCell ref="B29:C29"/>
    <mergeCell ref="D29:E29"/>
    <mergeCell ref="B31:C31"/>
    <mergeCell ref="D31:E31"/>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9"/>
  <sheetViews>
    <sheetView view="pageBreakPreview" topLeftCell="C37" zoomScale="90" zoomScaleNormal="90" zoomScaleSheetLayoutView="90" workbookViewId="0">
      <selection activeCell="K250" sqref="K250"/>
    </sheetView>
  </sheetViews>
  <sheetFormatPr defaultRowHeight="16.5" customHeight="1" x14ac:dyDescent="0.15"/>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25" style="6" customWidth="1"/>
    <col min="25" max="16384" width="9" style="6"/>
  </cols>
  <sheetData>
    <row r="1" spans="1:24" ht="5.0999999999999996" customHeight="1" x14ac:dyDescent="0.15">
      <c r="A1" s="40"/>
      <c r="B1" s="5"/>
      <c r="C1" s="5"/>
      <c r="D1" s="5"/>
      <c r="N1" s="937"/>
      <c r="O1" s="937"/>
      <c r="P1" s="937"/>
      <c r="Q1" s="937"/>
      <c r="R1" s="937"/>
      <c r="S1" s="937"/>
      <c r="T1" s="937"/>
      <c r="U1" s="937"/>
      <c r="V1" s="937"/>
      <c r="W1" s="937"/>
      <c r="X1" s="937"/>
    </row>
    <row r="2" spans="1:24" ht="15" customHeight="1" x14ac:dyDescent="0.15">
      <c r="A2" s="40" t="s">
        <v>319</v>
      </c>
      <c r="B2" s="5"/>
      <c r="C2" s="5"/>
      <c r="D2" s="5"/>
      <c r="N2" s="483"/>
      <c r="O2" s="483"/>
      <c r="P2" s="483"/>
      <c r="Q2" s="483"/>
      <c r="R2" s="483"/>
      <c r="S2" s="483"/>
      <c r="T2" s="483"/>
      <c r="U2" s="483"/>
      <c r="V2" s="483"/>
      <c r="W2" s="483"/>
      <c r="X2" s="483"/>
    </row>
    <row r="3" spans="1:24" ht="5.0999999999999996" customHeight="1" x14ac:dyDescent="0.15">
      <c r="A3" s="40"/>
      <c r="B3" s="5"/>
      <c r="C3" s="5"/>
      <c r="D3" s="5"/>
      <c r="N3" s="483"/>
      <c r="O3" s="483"/>
      <c r="P3" s="483"/>
      <c r="Q3" s="483"/>
      <c r="R3" s="483"/>
      <c r="S3" s="483"/>
      <c r="T3" s="483"/>
      <c r="U3" s="483"/>
      <c r="V3" s="483"/>
      <c r="W3" s="483"/>
      <c r="X3" s="483"/>
    </row>
    <row r="4" spans="1:24" s="73" customFormat="1" ht="60" customHeight="1" x14ac:dyDescent="0.15">
      <c r="A4" s="989" t="s">
        <v>666</v>
      </c>
      <c r="B4" s="989"/>
      <c r="C4" s="989"/>
      <c r="D4" s="989"/>
      <c r="E4" s="989"/>
      <c r="F4" s="989"/>
      <c r="G4" s="989"/>
      <c r="H4" s="989"/>
      <c r="I4" s="989"/>
      <c r="J4" s="989"/>
      <c r="K4" s="989"/>
      <c r="L4" s="989"/>
      <c r="M4" s="75"/>
      <c r="N4" s="935" t="s">
        <v>640</v>
      </c>
      <c r="O4" s="935"/>
      <c r="P4" s="935"/>
      <c r="Q4" s="935"/>
      <c r="R4" s="935"/>
      <c r="S4" s="935"/>
      <c r="T4" s="935"/>
      <c r="U4" s="935"/>
      <c r="V4" s="935"/>
      <c r="W4" s="935"/>
      <c r="X4" s="935"/>
    </row>
    <row r="5" spans="1:24" ht="12" customHeight="1" x14ac:dyDescent="0.15">
      <c r="A5" s="989"/>
      <c r="B5" s="989"/>
      <c r="C5" s="989"/>
      <c r="D5" s="989"/>
      <c r="E5" s="989"/>
      <c r="F5" s="989"/>
      <c r="G5" s="989"/>
      <c r="H5" s="989"/>
      <c r="I5" s="989"/>
      <c r="J5" s="989"/>
      <c r="K5" s="989"/>
      <c r="L5" s="989"/>
      <c r="N5" s="5" t="s">
        <v>30</v>
      </c>
    </row>
    <row r="6" spans="1:24" ht="15" customHeight="1" thickBot="1" x14ac:dyDescent="0.2">
      <c r="A6" s="13" t="s">
        <v>320</v>
      </c>
      <c r="L6" s="7" t="s">
        <v>28</v>
      </c>
      <c r="N6" s="5" t="s">
        <v>321</v>
      </c>
      <c r="X6" s="7"/>
    </row>
    <row r="7" spans="1:24" ht="20.100000000000001" customHeight="1" x14ac:dyDescent="0.15">
      <c r="A7" s="912" t="s">
        <v>322</v>
      </c>
      <c r="B7" s="913"/>
      <c r="C7" s="1025" t="s">
        <v>474</v>
      </c>
      <c r="D7" s="1025"/>
      <c r="E7" s="1025"/>
      <c r="F7" s="1025"/>
      <c r="G7" s="1025" t="s">
        <v>475</v>
      </c>
      <c r="H7" s="1025"/>
      <c r="I7" s="1025"/>
      <c r="J7" s="1025" t="s">
        <v>476</v>
      </c>
      <c r="K7" s="1025"/>
      <c r="L7" s="1026"/>
      <c r="M7" s="7"/>
      <c r="N7" s="912" t="s">
        <v>323</v>
      </c>
      <c r="O7" s="913"/>
      <c r="P7" s="913"/>
      <c r="Q7" s="913" t="s">
        <v>324</v>
      </c>
      <c r="R7" s="913"/>
      <c r="S7" s="913" t="s">
        <v>325</v>
      </c>
      <c r="T7" s="913"/>
      <c r="U7" s="913" t="s">
        <v>326</v>
      </c>
      <c r="V7" s="913"/>
      <c r="W7" s="913" t="s">
        <v>327</v>
      </c>
      <c r="X7" s="983"/>
    </row>
    <row r="8" spans="1:24" ht="20.100000000000001" customHeight="1" x14ac:dyDescent="0.15">
      <c r="A8" s="914"/>
      <c r="B8" s="915"/>
      <c r="C8" s="1019" t="s">
        <v>328</v>
      </c>
      <c r="D8" s="1019"/>
      <c r="E8" s="1019"/>
      <c r="F8" s="1019"/>
      <c r="G8" s="1019" t="s">
        <v>29</v>
      </c>
      <c r="H8" s="1019"/>
      <c r="I8" s="1019"/>
      <c r="J8" s="1019" t="s">
        <v>329</v>
      </c>
      <c r="K8" s="1019"/>
      <c r="L8" s="1020"/>
      <c r="M8" s="76"/>
      <c r="N8" s="1038" t="s">
        <v>641</v>
      </c>
      <c r="O8" s="1039"/>
      <c r="P8" s="1040"/>
      <c r="Q8" s="1041">
        <v>32</v>
      </c>
      <c r="R8" s="1027"/>
      <c r="S8" s="1027">
        <v>14.5</v>
      </c>
      <c r="T8" s="1027"/>
      <c r="U8" s="1027">
        <v>46.5</v>
      </c>
      <c r="V8" s="1027"/>
      <c r="W8" s="1027">
        <v>45.3</v>
      </c>
      <c r="X8" s="1037"/>
    </row>
    <row r="9" spans="1:24" ht="20.100000000000001" customHeight="1" x14ac:dyDescent="0.15">
      <c r="A9" s="914"/>
      <c r="B9" s="915"/>
      <c r="C9" s="915" t="s">
        <v>457</v>
      </c>
      <c r="D9" s="915"/>
      <c r="E9" s="915"/>
      <c r="F9" s="480" t="s">
        <v>330</v>
      </c>
      <c r="G9" s="915" t="s">
        <v>457</v>
      </c>
      <c r="H9" s="915"/>
      <c r="I9" s="480" t="s">
        <v>330</v>
      </c>
      <c r="J9" s="915" t="s">
        <v>457</v>
      </c>
      <c r="K9" s="915"/>
      <c r="L9" s="182" t="s">
        <v>330</v>
      </c>
      <c r="M9" s="36"/>
      <c r="N9" s="981" t="s">
        <v>637</v>
      </c>
      <c r="O9" s="900"/>
      <c r="P9" s="1000"/>
      <c r="Q9" s="1042">
        <v>30.2</v>
      </c>
      <c r="R9" s="1033"/>
      <c r="S9" s="1033">
        <v>18.5</v>
      </c>
      <c r="T9" s="1033"/>
      <c r="U9" s="1033">
        <v>48.6</v>
      </c>
      <c r="V9" s="1033"/>
      <c r="W9" s="1033">
        <v>61.2</v>
      </c>
      <c r="X9" s="1035"/>
    </row>
    <row r="10" spans="1:24" ht="20.100000000000001" customHeight="1" x14ac:dyDescent="0.15">
      <c r="A10" s="1021" t="s">
        <v>630</v>
      </c>
      <c r="B10" s="1022"/>
      <c r="C10" s="1023">
        <v>21892</v>
      </c>
      <c r="D10" s="1024"/>
      <c r="E10" s="1024"/>
      <c r="F10" s="252">
        <v>11286</v>
      </c>
      <c r="G10" s="1023">
        <v>68413</v>
      </c>
      <c r="H10" s="1024"/>
      <c r="I10" s="252">
        <v>33660</v>
      </c>
      <c r="J10" s="1023">
        <v>9917</v>
      </c>
      <c r="K10" s="1024"/>
      <c r="L10" s="253">
        <v>4165</v>
      </c>
      <c r="M10" s="484"/>
      <c r="N10" s="981" t="s">
        <v>639</v>
      </c>
      <c r="O10" s="900"/>
      <c r="P10" s="1000"/>
      <c r="Q10" s="994">
        <v>29.3</v>
      </c>
      <c r="R10" s="994"/>
      <c r="S10" s="1033">
        <v>21.8</v>
      </c>
      <c r="T10" s="1033"/>
      <c r="U10" s="1032">
        <v>51.1</v>
      </c>
      <c r="V10" s="1032"/>
      <c r="W10" s="1034">
        <v>74.5</v>
      </c>
      <c r="X10" s="1035"/>
    </row>
    <row r="11" spans="1:24" ht="20.100000000000001" customHeight="1" thickBot="1" x14ac:dyDescent="0.2">
      <c r="A11" s="496"/>
      <c r="B11" s="497"/>
      <c r="C11" s="494"/>
      <c r="D11" s="494"/>
      <c r="E11" s="494"/>
      <c r="F11" s="252"/>
      <c r="G11" s="494"/>
      <c r="H11" s="494"/>
      <c r="I11" s="252"/>
      <c r="J11" s="494"/>
      <c r="K11" s="494"/>
      <c r="L11" s="253"/>
      <c r="M11" s="79"/>
      <c r="N11" s="1015" t="s">
        <v>642</v>
      </c>
      <c r="O11" s="1016"/>
      <c r="P11" s="1017"/>
      <c r="Q11" s="1036">
        <v>28.8</v>
      </c>
      <c r="R11" s="1036"/>
      <c r="S11" s="1031">
        <v>26.8</v>
      </c>
      <c r="T11" s="1031"/>
      <c r="U11" s="1030">
        <v>55.6</v>
      </c>
      <c r="V11" s="1030"/>
      <c r="W11" s="1028">
        <v>93.1</v>
      </c>
      <c r="X11" s="1029"/>
    </row>
    <row r="12" spans="1:24" ht="20.100000000000001" customHeight="1" x14ac:dyDescent="0.15">
      <c r="A12" s="1011" t="s">
        <v>631</v>
      </c>
      <c r="B12" s="1012"/>
      <c r="C12" s="1013">
        <v>21528</v>
      </c>
      <c r="D12" s="1014"/>
      <c r="E12" s="1014"/>
      <c r="F12" s="252">
        <v>11208</v>
      </c>
      <c r="G12" s="1013">
        <v>71343</v>
      </c>
      <c r="H12" s="1014"/>
      <c r="I12" s="252">
        <v>35226</v>
      </c>
      <c r="J12" s="1013">
        <v>13169</v>
      </c>
      <c r="K12" s="1014"/>
      <c r="L12" s="253">
        <v>5689</v>
      </c>
      <c r="M12" s="79"/>
      <c r="X12" s="7" t="s">
        <v>613</v>
      </c>
    </row>
    <row r="13" spans="1:24" ht="20.100000000000001" customHeight="1" x14ac:dyDescent="0.15">
      <c r="A13" s="496"/>
      <c r="B13" s="497"/>
      <c r="C13" s="494"/>
      <c r="D13" s="494"/>
      <c r="E13" s="494"/>
      <c r="F13" s="252"/>
      <c r="G13" s="494"/>
      <c r="H13" s="494"/>
      <c r="I13" s="252"/>
      <c r="J13" s="494"/>
      <c r="K13" s="494"/>
      <c r="L13" s="253"/>
      <c r="M13" s="79"/>
      <c r="N13" s="80"/>
      <c r="P13" s="1018" t="s">
        <v>331</v>
      </c>
      <c r="Q13" s="1018"/>
      <c r="V13" s="81" t="s">
        <v>332</v>
      </c>
    </row>
    <row r="14" spans="1:24" ht="20.100000000000001" customHeight="1" x14ac:dyDescent="0.15">
      <c r="A14" s="1011" t="s">
        <v>632</v>
      </c>
      <c r="B14" s="1012"/>
      <c r="C14" s="1013">
        <v>21264</v>
      </c>
      <c r="D14" s="1014"/>
      <c r="E14" s="1014"/>
      <c r="F14" s="252">
        <v>10962</v>
      </c>
      <c r="G14" s="1013">
        <v>72687</v>
      </c>
      <c r="H14" s="1014"/>
      <c r="I14" s="252">
        <v>35732</v>
      </c>
      <c r="J14" s="1013">
        <v>15846</v>
      </c>
      <c r="K14" s="1014"/>
      <c r="L14" s="253">
        <v>6910</v>
      </c>
      <c r="M14" s="79"/>
      <c r="N14" s="5" t="s">
        <v>333</v>
      </c>
      <c r="O14" s="420"/>
      <c r="P14" s="82"/>
      <c r="Q14" s="5" t="s">
        <v>334</v>
      </c>
      <c r="R14" s="5" t="s">
        <v>335</v>
      </c>
      <c r="T14" s="5" t="s">
        <v>336</v>
      </c>
      <c r="W14" s="5" t="s">
        <v>337</v>
      </c>
    </row>
    <row r="15" spans="1:24" ht="20.100000000000001" customHeight="1" x14ac:dyDescent="0.15">
      <c r="A15" s="496"/>
      <c r="B15" s="497"/>
      <c r="C15" s="494"/>
      <c r="D15" s="494"/>
      <c r="E15" s="494"/>
      <c r="F15" s="252"/>
      <c r="G15" s="494"/>
      <c r="H15" s="494"/>
      <c r="I15" s="252"/>
      <c r="J15" s="494"/>
      <c r="K15" s="494"/>
      <c r="L15" s="253"/>
      <c r="M15" s="79"/>
      <c r="N15" s="62"/>
      <c r="O15" s="82"/>
      <c r="P15" s="1004" t="s">
        <v>338</v>
      </c>
      <c r="Q15" s="1004"/>
      <c r="V15" s="83" t="s">
        <v>338</v>
      </c>
    </row>
    <row r="16" spans="1:24" ht="20.100000000000001" customHeight="1" thickBot="1" x14ac:dyDescent="0.2">
      <c r="A16" s="1008" t="s">
        <v>633</v>
      </c>
      <c r="B16" s="1009"/>
      <c r="C16" s="1010">
        <v>20910</v>
      </c>
      <c r="D16" s="1010"/>
      <c r="E16" s="1010"/>
      <c r="F16" s="255">
        <v>10642</v>
      </c>
      <c r="G16" s="1010">
        <v>72626</v>
      </c>
      <c r="H16" s="1010"/>
      <c r="I16" s="255">
        <v>35553</v>
      </c>
      <c r="J16" s="1010">
        <v>19476</v>
      </c>
      <c r="K16" s="1010"/>
      <c r="L16" s="256">
        <v>8649</v>
      </c>
      <c r="M16" s="79"/>
    </row>
    <row r="17" spans="1:24" ht="20.100000000000001" customHeight="1" x14ac:dyDescent="0.15">
      <c r="A17" s="5" t="s">
        <v>339</v>
      </c>
      <c r="L17" s="7" t="s">
        <v>613</v>
      </c>
      <c r="M17" s="79"/>
      <c r="N17" s="5" t="s">
        <v>340</v>
      </c>
      <c r="O17" s="82"/>
      <c r="P17" s="80" t="s">
        <v>341</v>
      </c>
      <c r="Q17" s="84"/>
      <c r="U17" s="80" t="s">
        <v>342</v>
      </c>
    </row>
    <row r="18" spans="1:24" ht="20.100000000000001" customHeight="1" x14ac:dyDescent="0.15">
      <c r="H18" s="288"/>
      <c r="M18" s="7"/>
      <c r="N18" s="5" t="s">
        <v>343</v>
      </c>
      <c r="O18" s="420"/>
      <c r="S18" s="420" t="s">
        <v>344</v>
      </c>
      <c r="T18" s="5" t="s">
        <v>345</v>
      </c>
      <c r="U18" s="420"/>
      <c r="W18" s="5" t="s">
        <v>346</v>
      </c>
    </row>
    <row r="19" spans="1:24" ht="20.100000000000001" customHeight="1" x14ac:dyDescent="0.15">
      <c r="A19" s="5"/>
      <c r="N19" s="62"/>
      <c r="Q19" s="83" t="s">
        <v>338</v>
      </c>
      <c r="U19" s="1005" t="s">
        <v>331</v>
      </c>
      <c r="V19" s="1005"/>
    </row>
    <row r="20" spans="1:24" ht="12" customHeight="1" x14ac:dyDescent="0.15">
      <c r="A20" s="5"/>
      <c r="N20" s="62"/>
      <c r="Q20" s="83"/>
      <c r="U20" s="85"/>
      <c r="V20" s="85"/>
    </row>
    <row r="21" spans="1:24" ht="15" customHeight="1" thickBot="1" x14ac:dyDescent="0.2">
      <c r="A21" s="13" t="s">
        <v>347</v>
      </c>
      <c r="M21" s="82"/>
      <c r="X21" s="7" t="s">
        <v>200</v>
      </c>
    </row>
    <row r="22" spans="1:24" ht="30" customHeight="1" x14ac:dyDescent="0.15">
      <c r="A22" s="184" t="s">
        <v>348</v>
      </c>
      <c r="B22" s="185"/>
      <c r="C22" s="186"/>
      <c r="D22" s="813" t="s">
        <v>349</v>
      </c>
      <c r="E22" s="813"/>
      <c r="F22" s="482" t="s">
        <v>350</v>
      </c>
      <c r="G22" s="482" t="s">
        <v>351</v>
      </c>
      <c r="H22" s="482" t="s">
        <v>352</v>
      </c>
      <c r="I22" s="482" t="s">
        <v>353</v>
      </c>
      <c r="J22" s="482" t="s">
        <v>299</v>
      </c>
      <c r="K22" s="482" t="s">
        <v>300</v>
      </c>
      <c r="L22" s="481" t="s">
        <v>301</v>
      </c>
      <c r="M22" s="371"/>
      <c r="N22" s="372" t="s">
        <v>354</v>
      </c>
      <c r="O22" s="482" t="s">
        <v>355</v>
      </c>
      <c r="P22" s="482" t="s">
        <v>356</v>
      </c>
      <c r="Q22" s="482" t="s">
        <v>357</v>
      </c>
      <c r="R22" s="482" t="s">
        <v>358</v>
      </c>
      <c r="S22" s="482" t="s">
        <v>312</v>
      </c>
      <c r="T22" s="482" t="s">
        <v>313</v>
      </c>
      <c r="U22" s="482" t="s">
        <v>314</v>
      </c>
      <c r="V22" s="482" t="s">
        <v>315</v>
      </c>
      <c r="W22" s="482" t="s">
        <v>359</v>
      </c>
      <c r="X22" s="485" t="s">
        <v>360</v>
      </c>
    </row>
    <row r="23" spans="1:24" ht="24" customHeight="1" x14ac:dyDescent="0.15">
      <c r="A23" s="486" t="s">
        <v>361</v>
      </c>
      <c r="B23" s="1001" t="s">
        <v>362</v>
      </c>
      <c r="C23" s="1002"/>
      <c r="D23" s="1006">
        <f>SUM(F23:X23)</f>
        <v>100.00000000000001</v>
      </c>
      <c r="E23" s="1007"/>
      <c r="F23" s="487">
        <f>F24/$D$24*100</f>
        <v>7.5262327953744625</v>
      </c>
      <c r="G23" s="487">
        <f t="shared" ref="G23:L23" si="0">G24/$D$24*100</f>
        <v>6.943173632877139</v>
      </c>
      <c r="H23" s="487">
        <f t="shared" si="0"/>
        <v>6.839994549029532</v>
      </c>
      <c r="I23" s="487">
        <f t="shared" si="0"/>
        <v>6.9266260439581835</v>
      </c>
      <c r="J23" s="487">
        <f t="shared" si="0"/>
        <v>6.1985321315241304</v>
      </c>
      <c r="K23" s="487">
        <f t="shared" si="0"/>
        <v>8.5142211925944675</v>
      </c>
      <c r="L23" s="487">
        <f t="shared" si="0"/>
        <v>8.3331711020694232</v>
      </c>
      <c r="M23" s="86"/>
      <c r="N23" s="493">
        <f>N24/$D$24*100</f>
        <v>7.575875562131329</v>
      </c>
      <c r="O23" s="493">
        <f t="shared" ref="O23:X23" si="1">O24/$D$24*100</f>
        <v>6.8672494013666361</v>
      </c>
      <c r="P23" s="493">
        <f t="shared" si="1"/>
        <v>7.1514785757392882</v>
      </c>
      <c r="Q23" s="493">
        <f t="shared" si="1"/>
        <v>6.0067747775809375</v>
      </c>
      <c r="R23" s="493">
        <f t="shared" si="1"/>
        <v>4.4055522027761018</v>
      </c>
      <c r="S23" s="493">
        <f t="shared" si="1"/>
        <v>4.6128837580547826</v>
      </c>
      <c r="T23" s="493">
        <f t="shared" si="1"/>
        <v>3.7163937936807683</v>
      </c>
      <c r="U23" s="493">
        <f t="shared" si="1"/>
        <v>2.382852804329628</v>
      </c>
      <c r="V23" s="493">
        <f t="shared" si="1"/>
        <v>1.5136176922927171</v>
      </c>
      <c r="W23" s="493">
        <f t="shared" si="1"/>
        <v>2.040220374948897</v>
      </c>
      <c r="X23" s="311">
        <f t="shared" si="1"/>
        <v>2.4451496096715792</v>
      </c>
    </row>
    <row r="24" spans="1:24" ht="24" customHeight="1" x14ac:dyDescent="0.15">
      <c r="A24" s="486" t="s">
        <v>363</v>
      </c>
      <c r="B24" s="997" t="s">
        <v>364</v>
      </c>
      <c r="C24" s="998"/>
      <c r="D24" s="996">
        <f t="shared" ref="D24:D36" si="2">SUM(F24:X24)</f>
        <v>102734</v>
      </c>
      <c r="E24" s="999"/>
      <c r="F24" s="489">
        <f t="shared" ref="F24:L24" si="3">F25+F26</f>
        <v>7732</v>
      </c>
      <c r="G24" s="489">
        <f t="shared" si="3"/>
        <v>7133</v>
      </c>
      <c r="H24" s="489">
        <f t="shared" si="3"/>
        <v>7027</v>
      </c>
      <c r="I24" s="489">
        <f t="shared" si="3"/>
        <v>7116</v>
      </c>
      <c r="J24" s="489">
        <f t="shared" si="3"/>
        <v>6368</v>
      </c>
      <c r="K24" s="489">
        <f t="shared" si="3"/>
        <v>8747</v>
      </c>
      <c r="L24" s="489">
        <f t="shared" si="3"/>
        <v>8561</v>
      </c>
      <c r="M24" s="489"/>
      <c r="N24" s="489">
        <f t="shared" ref="N24:X24" si="4">N25+N26</f>
        <v>7783</v>
      </c>
      <c r="O24" s="489">
        <f t="shared" si="4"/>
        <v>7055</v>
      </c>
      <c r="P24" s="489">
        <f t="shared" si="4"/>
        <v>7347</v>
      </c>
      <c r="Q24" s="489">
        <f t="shared" si="4"/>
        <v>6171</v>
      </c>
      <c r="R24" s="489">
        <f t="shared" si="4"/>
        <v>4526</v>
      </c>
      <c r="S24" s="489">
        <f t="shared" si="4"/>
        <v>4739</v>
      </c>
      <c r="T24" s="489">
        <f t="shared" si="4"/>
        <v>3818</v>
      </c>
      <c r="U24" s="489">
        <f t="shared" si="4"/>
        <v>2448</v>
      </c>
      <c r="V24" s="489">
        <f t="shared" si="4"/>
        <v>1555</v>
      </c>
      <c r="W24" s="489">
        <f t="shared" si="4"/>
        <v>2096</v>
      </c>
      <c r="X24" s="157">
        <f t="shared" si="4"/>
        <v>2512</v>
      </c>
    </row>
    <row r="25" spans="1:24" ht="24" customHeight="1" x14ac:dyDescent="0.15">
      <c r="A25" s="177" t="s">
        <v>634</v>
      </c>
      <c r="B25" s="982" t="s">
        <v>21</v>
      </c>
      <c r="C25" s="1000"/>
      <c r="D25" s="990">
        <f t="shared" si="2"/>
        <v>50440</v>
      </c>
      <c r="E25" s="991"/>
      <c r="F25" s="490">
        <v>4013</v>
      </c>
      <c r="G25" s="490">
        <v>3646</v>
      </c>
      <c r="H25" s="490">
        <v>3627</v>
      </c>
      <c r="I25" s="490">
        <v>3646</v>
      </c>
      <c r="J25" s="490">
        <v>3060</v>
      </c>
      <c r="K25" s="490">
        <v>4182</v>
      </c>
      <c r="L25" s="490">
        <v>4124</v>
      </c>
      <c r="M25" s="490"/>
      <c r="N25" s="490">
        <v>3850</v>
      </c>
      <c r="O25" s="490">
        <v>3548</v>
      </c>
      <c r="P25" s="490">
        <v>3621</v>
      </c>
      <c r="Q25" s="490">
        <v>3094</v>
      </c>
      <c r="R25" s="490">
        <v>2210</v>
      </c>
      <c r="S25" s="490">
        <v>2325</v>
      </c>
      <c r="T25" s="490">
        <v>1868</v>
      </c>
      <c r="U25" s="490">
        <v>1096</v>
      </c>
      <c r="V25" s="490">
        <v>611</v>
      </c>
      <c r="W25" s="490">
        <v>590</v>
      </c>
      <c r="X25" s="148">
        <v>1329</v>
      </c>
    </row>
    <row r="26" spans="1:24" ht="24" customHeight="1" x14ac:dyDescent="0.15">
      <c r="A26" s="491" t="s">
        <v>365</v>
      </c>
      <c r="B26" s="987" t="s">
        <v>22</v>
      </c>
      <c r="C26" s="988"/>
      <c r="D26" s="990">
        <f t="shared" si="2"/>
        <v>52294</v>
      </c>
      <c r="E26" s="991"/>
      <c r="F26" s="490">
        <v>3719</v>
      </c>
      <c r="G26" s="490">
        <v>3487</v>
      </c>
      <c r="H26" s="490">
        <v>3400</v>
      </c>
      <c r="I26" s="490">
        <v>3470</v>
      </c>
      <c r="J26" s="490">
        <v>3308</v>
      </c>
      <c r="K26" s="490">
        <v>4565</v>
      </c>
      <c r="L26" s="490">
        <v>4437</v>
      </c>
      <c r="M26" s="490"/>
      <c r="N26" s="490">
        <v>3933</v>
      </c>
      <c r="O26" s="490">
        <v>3507</v>
      </c>
      <c r="P26" s="490">
        <v>3726</v>
      </c>
      <c r="Q26" s="490">
        <v>3077</v>
      </c>
      <c r="R26" s="490">
        <v>2316</v>
      </c>
      <c r="S26" s="490">
        <v>2414</v>
      </c>
      <c r="T26" s="490">
        <v>1950</v>
      </c>
      <c r="U26" s="490">
        <v>1352</v>
      </c>
      <c r="V26" s="490">
        <v>944</v>
      </c>
      <c r="W26" s="490">
        <v>1506</v>
      </c>
      <c r="X26" s="148">
        <v>1183</v>
      </c>
    </row>
    <row r="27" spans="1:24" ht="24" customHeight="1" x14ac:dyDescent="0.15">
      <c r="A27" s="486" t="s">
        <v>361</v>
      </c>
      <c r="B27" s="1001" t="s">
        <v>362</v>
      </c>
      <c r="C27" s="1002"/>
      <c r="D27" s="994">
        <f t="shared" si="2"/>
        <v>100.00000000000001</v>
      </c>
      <c r="E27" s="1003"/>
      <c r="F27" s="487">
        <f>F28/$D$28*100</f>
        <v>6.9090703354109895</v>
      </c>
      <c r="G27" s="487">
        <f t="shared" ref="G27:L27" si="5">G28/$D$28*100</f>
        <v>6.8770096842025854</v>
      </c>
      <c r="H27" s="487">
        <f t="shared" si="5"/>
        <v>6.5139699572838969</v>
      </c>
      <c r="I27" s="487">
        <f t="shared" si="5"/>
        <v>6.4121302416807326</v>
      </c>
      <c r="J27" s="487">
        <f t="shared" si="5"/>
        <v>6.0868089279484012</v>
      </c>
      <c r="K27" s="487">
        <f t="shared" si="5"/>
        <v>7.2598515780441115</v>
      </c>
      <c r="L27" s="487">
        <f t="shared" si="5"/>
        <v>8.9562372111005288</v>
      </c>
      <c r="M27" s="86"/>
      <c r="N27" s="487">
        <f>N28/$D$28*100</f>
        <v>7.9189808484757043</v>
      </c>
      <c r="O27" s="487">
        <f t="shared" ref="O27:X27" si="6">O28/$D$28*100</f>
        <v>7.0976624013427765</v>
      </c>
      <c r="P27" s="487">
        <f t="shared" si="6"/>
        <v>6.5601750134371848</v>
      </c>
      <c r="Q27" s="487">
        <f t="shared" si="6"/>
        <v>6.9062414544220125</v>
      </c>
      <c r="R27" s="487">
        <f t="shared" si="6"/>
        <v>5.7869475431168613</v>
      </c>
      <c r="S27" s="487">
        <f t="shared" si="6"/>
        <v>4.2885835792888187</v>
      </c>
      <c r="T27" s="487">
        <f t="shared" si="6"/>
        <v>4.3762788899471001</v>
      </c>
      <c r="U27" s="487">
        <f t="shared" si="6"/>
        <v>3.3776839008382917</v>
      </c>
      <c r="V27" s="487">
        <f t="shared" si="6"/>
        <v>2.1131740987656649</v>
      </c>
      <c r="W27" s="487">
        <f t="shared" si="6"/>
        <v>2.5507076917274092</v>
      </c>
      <c r="X27" s="488">
        <f t="shared" si="6"/>
        <v>8.4866429669303804E-3</v>
      </c>
    </row>
    <row r="28" spans="1:24" ht="24" customHeight="1" x14ac:dyDescent="0.15">
      <c r="A28" s="486" t="s">
        <v>363</v>
      </c>
      <c r="B28" s="997" t="s">
        <v>364</v>
      </c>
      <c r="C28" s="998"/>
      <c r="D28" s="996">
        <f t="shared" si="2"/>
        <v>106049</v>
      </c>
      <c r="E28" s="999"/>
      <c r="F28" s="489">
        <f t="shared" ref="F28:L28" si="7">F29+F30</f>
        <v>7327</v>
      </c>
      <c r="G28" s="489">
        <f t="shared" si="7"/>
        <v>7293</v>
      </c>
      <c r="H28" s="489">
        <f t="shared" si="7"/>
        <v>6908</v>
      </c>
      <c r="I28" s="489">
        <f t="shared" si="7"/>
        <v>6800</v>
      </c>
      <c r="J28" s="489">
        <f t="shared" si="7"/>
        <v>6455</v>
      </c>
      <c r="K28" s="489">
        <f t="shared" si="7"/>
        <v>7699</v>
      </c>
      <c r="L28" s="489">
        <f t="shared" si="7"/>
        <v>9498</v>
      </c>
      <c r="M28" s="489"/>
      <c r="N28" s="489">
        <f t="shared" ref="N28:X28" si="8">N29+N30</f>
        <v>8398</v>
      </c>
      <c r="O28" s="489">
        <f t="shared" si="8"/>
        <v>7527</v>
      </c>
      <c r="P28" s="489">
        <f t="shared" si="8"/>
        <v>6957</v>
      </c>
      <c r="Q28" s="489">
        <f t="shared" si="8"/>
        <v>7324</v>
      </c>
      <c r="R28" s="489">
        <f t="shared" si="8"/>
        <v>6137</v>
      </c>
      <c r="S28" s="489">
        <f t="shared" si="8"/>
        <v>4548</v>
      </c>
      <c r="T28" s="489">
        <f t="shared" si="8"/>
        <v>4641</v>
      </c>
      <c r="U28" s="489">
        <f t="shared" si="8"/>
        <v>3582</v>
      </c>
      <c r="V28" s="489">
        <f t="shared" si="8"/>
        <v>2241</v>
      </c>
      <c r="W28" s="489">
        <f t="shared" si="8"/>
        <v>2705</v>
      </c>
      <c r="X28" s="157">
        <f t="shared" si="8"/>
        <v>9</v>
      </c>
    </row>
    <row r="29" spans="1:24" ht="24" customHeight="1" x14ac:dyDescent="0.15">
      <c r="A29" s="486">
        <v>17</v>
      </c>
      <c r="B29" s="982" t="s">
        <v>21</v>
      </c>
      <c r="C29" s="1000"/>
      <c r="D29" s="990">
        <f t="shared" si="2"/>
        <v>52128</v>
      </c>
      <c r="E29" s="991"/>
      <c r="F29" s="490">
        <v>3811</v>
      </c>
      <c r="G29" s="490">
        <v>3814</v>
      </c>
      <c r="H29" s="490">
        <v>3583</v>
      </c>
      <c r="I29" s="490">
        <v>3479</v>
      </c>
      <c r="J29" s="490">
        <v>3196</v>
      </c>
      <c r="K29" s="490">
        <v>3739</v>
      </c>
      <c r="L29" s="490">
        <v>4660</v>
      </c>
      <c r="M29" s="490"/>
      <c r="N29" s="490">
        <v>4053</v>
      </c>
      <c r="O29" s="490">
        <v>3688</v>
      </c>
      <c r="P29" s="490">
        <v>3527</v>
      </c>
      <c r="Q29" s="490">
        <v>3596</v>
      </c>
      <c r="R29" s="490">
        <v>3086</v>
      </c>
      <c r="S29" s="490">
        <v>2202</v>
      </c>
      <c r="T29" s="490">
        <v>2241</v>
      </c>
      <c r="U29" s="490">
        <v>1692</v>
      </c>
      <c r="V29" s="490">
        <v>951</v>
      </c>
      <c r="W29" s="490">
        <v>805</v>
      </c>
      <c r="X29" s="148">
        <v>5</v>
      </c>
    </row>
    <row r="30" spans="1:24" ht="24" customHeight="1" x14ac:dyDescent="0.15">
      <c r="A30" s="491" t="s">
        <v>365</v>
      </c>
      <c r="B30" s="987" t="s">
        <v>22</v>
      </c>
      <c r="C30" s="988"/>
      <c r="D30" s="990">
        <f t="shared" si="2"/>
        <v>53921</v>
      </c>
      <c r="E30" s="991"/>
      <c r="F30" s="490">
        <v>3516</v>
      </c>
      <c r="G30" s="490">
        <v>3479</v>
      </c>
      <c r="H30" s="490">
        <v>3325</v>
      </c>
      <c r="I30" s="490">
        <v>3321</v>
      </c>
      <c r="J30" s="490">
        <v>3259</v>
      </c>
      <c r="K30" s="490">
        <v>3960</v>
      </c>
      <c r="L30" s="490">
        <v>4838</v>
      </c>
      <c r="M30" s="490"/>
      <c r="N30" s="490">
        <v>4345</v>
      </c>
      <c r="O30" s="490">
        <v>3839</v>
      </c>
      <c r="P30" s="490">
        <v>3430</v>
      </c>
      <c r="Q30" s="490">
        <v>3728</v>
      </c>
      <c r="R30" s="490">
        <v>3051</v>
      </c>
      <c r="S30" s="490">
        <v>2346</v>
      </c>
      <c r="T30" s="490">
        <v>2400</v>
      </c>
      <c r="U30" s="490">
        <v>1890</v>
      </c>
      <c r="V30" s="490">
        <v>1290</v>
      </c>
      <c r="W30" s="490">
        <v>1900</v>
      </c>
      <c r="X30" s="148">
        <v>4</v>
      </c>
    </row>
    <row r="31" spans="1:24" ht="24" customHeight="1" x14ac:dyDescent="0.15">
      <c r="A31" s="486" t="s">
        <v>361</v>
      </c>
      <c r="B31" s="1001" t="s">
        <v>362</v>
      </c>
      <c r="C31" s="1002"/>
      <c r="D31" s="994">
        <f>SUM(F31:X31)</f>
        <v>100.00000000000001</v>
      </c>
      <c r="E31" s="1003"/>
      <c r="F31" s="487">
        <f>F32/$D$32*100</f>
        <v>6.5074172413480627</v>
      </c>
      <c r="G31" s="487">
        <f t="shared" ref="G31:L31" si="9">G32/$D$32*100</f>
        <v>6.3424889670234075</v>
      </c>
      <c r="H31" s="487">
        <f t="shared" si="9"/>
        <v>6.4195159083288784</v>
      </c>
      <c r="I31" s="487">
        <f t="shared" si="9"/>
        <v>6.0579423838479034</v>
      </c>
      <c r="J31" s="487">
        <f t="shared" si="9"/>
        <v>5.3375139328143835</v>
      </c>
      <c r="K31" s="487">
        <f t="shared" si="9"/>
        <v>6.5916937771293416</v>
      </c>
      <c r="L31" s="487">
        <f t="shared" si="9"/>
        <v>7.2785928537122455</v>
      </c>
      <c r="M31" s="86"/>
      <c r="N31" s="487">
        <f>N32/$D$32*100</f>
        <v>8.5137425125282054</v>
      </c>
      <c r="O31" s="487">
        <f t="shared" ref="O31:X31" si="10">O32/$D$32*100</f>
        <v>7.3746499805167147</v>
      </c>
      <c r="P31" s="487">
        <f t="shared" si="10"/>
        <v>6.6052867667714841</v>
      </c>
      <c r="Q31" s="487">
        <f t="shared" si="10"/>
        <v>6.2038404726735603</v>
      </c>
      <c r="R31" s="487">
        <f t="shared" si="10"/>
        <v>6.4467018876131617</v>
      </c>
      <c r="S31" s="487">
        <f t="shared" si="10"/>
        <v>5.4589446402841846</v>
      </c>
      <c r="T31" s="487">
        <f t="shared" si="10"/>
        <v>3.9555599858632906</v>
      </c>
      <c r="U31" s="487">
        <f t="shared" si="10"/>
        <v>4.019900136836096</v>
      </c>
      <c r="V31" s="487">
        <f t="shared" si="10"/>
        <v>2.9732399343911702</v>
      </c>
      <c r="W31" s="487">
        <f t="shared" si="10"/>
        <v>3.4109342008681391</v>
      </c>
      <c r="X31" s="488">
        <f t="shared" si="10"/>
        <v>0.50203441744977384</v>
      </c>
    </row>
    <row r="32" spans="1:24" ht="24" customHeight="1" x14ac:dyDescent="0.15">
      <c r="A32" s="486" t="s">
        <v>363</v>
      </c>
      <c r="B32" s="997" t="s">
        <v>364</v>
      </c>
      <c r="C32" s="998"/>
      <c r="D32" s="996">
        <f t="shared" si="2"/>
        <v>110351</v>
      </c>
      <c r="E32" s="999"/>
      <c r="F32" s="489">
        <f t="shared" ref="F32:L32" si="11">F33+F34</f>
        <v>7181</v>
      </c>
      <c r="G32" s="489">
        <f t="shared" si="11"/>
        <v>6999</v>
      </c>
      <c r="H32" s="489">
        <f t="shared" si="11"/>
        <v>7084</v>
      </c>
      <c r="I32" s="489">
        <f t="shared" si="11"/>
        <v>6685</v>
      </c>
      <c r="J32" s="489">
        <f t="shared" si="11"/>
        <v>5890</v>
      </c>
      <c r="K32" s="489">
        <f t="shared" si="11"/>
        <v>7274</v>
      </c>
      <c r="L32" s="489">
        <f t="shared" si="11"/>
        <v>8032</v>
      </c>
      <c r="M32" s="489"/>
      <c r="N32" s="489">
        <f t="shared" ref="N32:X32" si="12">N33+N34</f>
        <v>9395</v>
      </c>
      <c r="O32" s="489">
        <f t="shared" si="12"/>
        <v>8138</v>
      </c>
      <c r="P32" s="489">
        <f t="shared" si="12"/>
        <v>7289</v>
      </c>
      <c r="Q32" s="489">
        <f t="shared" si="12"/>
        <v>6846</v>
      </c>
      <c r="R32" s="489">
        <f t="shared" si="12"/>
        <v>7114</v>
      </c>
      <c r="S32" s="489">
        <f t="shared" si="12"/>
        <v>6024</v>
      </c>
      <c r="T32" s="489">
        <f t="shared" si="12"/>
        <v>4365</v>
      </c>
      <c r="U32" s="489">
        <f t="shared" si="12"/>
        <v>4436</v>
      </c>
      <c r="V32" s="489">
        <f t="shared" si="12"/>
        <v>3281</v>
      </c>
      <c r="W32" s="489">
        <f t="shared" si="12"/>
        <v>3764</v>
      </c>
      <c r="X32" s="157">
        <f t="shared" si="12"/>
        <v>554</v>
      </c>
    </row>
    <row r="33" spans="1:24" ht="24" customHeight="1" x14ac:dyDescent="0.15">
      <c r="A33" s="486">
        <v>22</v>
      </c>
      <c r="B33" s="982" t="s">
        <v>21</v>
      </c>
      <c r="C33" s="1000"/>
      <c r="D33" s="990">
        <f t="shared" si="2"/>
        <v>53948</v>
      </c>
      <c r="E33" s="991"/>
      <c r="F33" s="490">
        <v>3678</v>
      </c>
      <c r="G33" s="490">
        <v>3637</v>
      </c>
      <c r="H33" s="490">
        <v>3647</v>
      </c>
      <c r="I33" s="490">
        <v>3405</v>
      </c>
      <c r="J33" s="490">
        <v>2967</v>
      </c>
      <c r="K33" s="490">
        <v>3500</v>
      </c>
      <c r="L33" s="490">
        <v>3893</v>
      </c>
      <c r="M33" s="490"/>
      <c r="N33" s="490">
        <v>4653</v>
      </c>
      <c r="O33" s="490">
        <v>3925</v>
      </c>
      <c r="P33" s="490">
        <v>3525</v>
      </c>
      <c r="Q33" s="490">
        <v>3420</v>
      </c>
      <c r="R33" s="490">
        <v>3427</v>
      </c>
      <c r="S33" s="490">
        <v>3017</v>
      </c>
      <c r="T33" s="490">
        <v>2094</v>
      </c>
      <c r="U33" s="490">
        <v>2100</v>
      </c>
      <c r="V33" s="490">
        <v>1477</v>
      </c>
      <c r="W33" s="490">
        <v>1239</v>
      </c>
      <c r="X33" s="148">
        <v>344</v>
      </c>
    </row>
    <row r="34" spans="1:24" ht="24" customHeight="1" x14ac:dyDescent="0.15">
      <c r="A34" s="486" t="s">
        <v>365</v>
      </c>
      <c r="B34" s="987" t="s">
        <v>22</v>
      </c>
      <c r="C34" s="988"/>
      <c r="D34" s="990">
        <f t="shared" si="2"/>
        <v>56403</v>
      </c>
      <c r="E34" s="991"/>
      <c r="F34" s="490">
        <v>3503</v>
      </c>
      <c r="G34" s="490">
        <v>3362</v>
      </c>
      <c r="H34" s="490">
        <v>3437</v>
      </c>
      <c r="I34" s="490">
        <v>3280</v>
      </c>
      <c r="J34" s="490">
        <v>2923</v>
      </c>
      <c r="K34" s="490">
        <v>3774</v>
      </c>
      <c r="L34" s="490">
        <v>4139</v>
      </c>
      <c r="M34" s="490"/>
      <c r="N34" s="490">
        <v>4742</v>
      </c>
      <c r="O34" s="490">
        <v>4213</v>
      </c>
      <c r="P34" s="490">
        <v>3764</v>
      </c>
      <c r="Q34" s="490">
        <v>3426</v>
      </c>
      <c r="R34" s="490">
        <v>3687</v>
      </c>
      <c r="S34" s="490">
        <v>3007</v>
      </c>
      <c r="T34" s="490">
        <v>2271</v>
      </c>
      <c r="U34" s="490">
        <v>2336</v>
      </c>
      <c r="V34" s="490">
        <v>1804</v>
      </c>
      <c r="W34" s="490">
        <v>2525</v>
      </c>
      <c r="X34" s="295">
        <v>210</v>
      </c>
    </row>
    <row r="35" spans="1:24" ht="24" customHeight="1" x14ac:dyDescent="0.15">
      <c r="A35" s="495" t="s">
        <v>361</v>
      </c>
      <c r="B35" s="993" t="s">
        <v>362</v>
      </c>
      <c r="C35" s="993"/>
      <c r="D35" s="994">
        <f>SUM(F35:X35)</f>
        <v>100</v>
      </c>
      <c r="E35" s="994"/>
      <c r="F35" s="487">
        <f>F36/$D$36*100</f>
        <v>6.0429651936410114</v>
      </c>
      <c r="G35" s="487">
        <f t="shared" ref="G35:L35" si="13">G36/$D$36*100</f>
        <v>6.1331325723089849</v>
      </c>
      <c r="H35" s="487">
        <f t="shared" si="13"/>
        <v>6.1287555150920934</v>
      </c>
      <c r="I35" s="487">
        <f t="shared" si="13"/>
        <v>6.04384060508439</v>
      </c>
      <c r="J35" s="487">
        <f t="shared" si="13"/>
        <v>5.1097765949996505</v>
      </c>
      <c r="K35" s="487">
        <f t="shared" si="13"/>
        <v>5.6569087471111423</v>
      </c>
      <c r="L35" s="487">
        <f t="shared" si="13"/>
        <v>6.4736676237831778</v>
      </c>
      <c r="M35" s="86">
        <f>M36/$D$36</f>
        <v>0</v>
      </c>
      <c r="N35" s="487">
        <f>N36/$D$36*100</f>
        <v>6.9603963863015625</v>
      </c>
      <c r="O35" s="487">
        <f t="shared" ref="O35:X35" si="14">O36/$D$36*100</f>
        <v>8.0765459766090064</v>
      </c>
      <c r="P35" s="487">
        <f t="shared" si="14"/>
        <v>6.9989144898102111</v>
      </c>
      <c r="Q35" s="487">
        <f t="shared" si="14"/>
        <v>6.307339449541284</v>
      </c>
      <c r="R35" s="487">
        <f t="shared" si="14"/>
        <v>5.8004762238251972</v>
      </c>
      <c r="S35" s="487">
        <f t="shared" si="14"/>
        <v>6.1497653897331741</v>
      </c>
      <c r="T35" s="487">
        <f t="shared" si="14"/>
        <v>5.1325372925274877</v>
      </c>
      <c r="U35" s="487">
        <f t="shared" si="14"/>
        <v>3.6741018278590936</v>
      </c>
      <c r="V35" s="487">
        <f t="shared" si="14"/>
        <v>3.5909377407381466</v>
      </c>
      <c r="W35" s="487">
        <f t="shared" si="14"/>
        <v>4.6519364101127527</v>
      </c>
      <c r="X35" s="488">
        <f t="shared" si="14"/>
        <v>1.0680019609216331</v>
      </c>
    </row>
    <row r="36" spans="1:24" ht="24" customHeight="1" x14ac:dyDescent="0.15">
      <c r="A36" s="486" t="s">
        <v>363</v>
      </c>
      <c r="B36" s="995" t="s">
        <v>364</v>
      </c>
      <c r="C36" s="995"/>
      <c r="D36" s="996">
        <f t="shared" si="2"/>
        <v>114232</v>
      </c>
      <c r="E36" s="996"/>
      <c r="F36" s="87">
        <f t="shared" ref="F36:L36" si="15">SUM(F37:F38)</f>
        <v>6903</v>
      </c>
      <c r="G36" s="489">
        <f t="shared" si="15"/>
        <v>7006</v>
      </c>
      <c r="H36" s="489">
        <f t="shared" si="15"/>
        <v>7001</v>
      </c>
      <c r="I36" s="489">
        <f t="shared" si="15"/>
        <v>6904</v>
      </c>
      <c r="J36" s="489">
        <f t="shared" si="15"/>
        <v>5837</v>
      </c>
      <c r="K36" s="489">
        <f t="shared" si="15"/>
        <v>6462</v>
      </c>
      <c r="L36" s="489">
        <f t="shared" si="15"/>
        <v>7395</v>
      </c>
      <c r="M36" s="489"/>
      <c r="N36" s="489">
        <f t="shared" ref="N36:X36" si="16">SUM(N37:N38)</f>
        <v>7951</v>
      </c>
      <c r="O36" s="489">
        <f t="shared" si="16"/>
        <v>9226</v>
      </c>
      <c r="P36" s="489">
        <f t="shared" si="16"/>
        <v>7995</v>
      </c>
      <c r="Q36" s="489">
        <f t="shared" si="16"/>
        <v>7205</v>
      </c>
      <c r="R36" s="489">
        <f t="shared" si="16"/>
        <v>6626</v>
      </c>
      <c r="S36" s="489">
        <f t="shared" si="16"/>
        <v>7025</v>
      </c>
      <c r="T36" s="489">
        <f t="shared" si="16"/>
        <v>5863</v>
      </c>
      <c r="U36" s="489">
        <f t="shared" si="16"/>
        <v>4197</v>
      </c>
      <c r="V36" s="489">
        <f t="shared" si="16"/>
        <v>4102</v>
      </c>
      <c r="W36" s="489">
        <f t="shared" si="16"/>
        <v>5314</v>
      </c>
      <c r="X36" s="157">
        <f t="shared" si="16"/>
        <v>1220</v>
      </c>
    </row>
    <row r="37" spans="1:24" ht="24" customHeight="1" x14ac:dyDescent="0.15">
      <c r="A37" s="177" t="s">
        <v>623</v>
      </c>
      <c r="B37" s="976" t="s">
        <v>21</v>
      </c>
      <c r="C37" s="976"/>
      <c r="D37" s="990">
        <v>55471</v>
      </c>
      <c r="E37" s="990"/>
      <c r="F37" s="490">
        <v>3447</v>
      </c>
      <c r="G37" s="490">
        <v>3572</v>
      </c>
      <c r="H37" s="490">
        <v>3623</v>
      </c>
      <c r="I37" s="490">
        <v>3504</v>
      </c>
      <c r="J37" s="490">
        <v>2909</v>
      </c>
      <c r="K37" s="490">
        <v>3200</v>
      </c>
      <c r="L37" s="490">
        <v>3568</v>
      </c>
      <c r="M37" s="490"/>
      <c r="N37" s="490">
        <v>3836</v>
      </c>
      <c r="O37" s="490">
        <v>4533</v>
      </c>
      <c r="P37" s="490">
        <v>3878</v>
      </c>
      <c r="Q37" s="490">
        <v>3463</v>
      </c>
      <c r="R37" s="490">
        <v>3288</v>
      </c>
      <c r="S37" s="490">
        <v>3374</v>
      </c>
      <c r="T37" s="490">
        <v>2883</v>
      </c>
      <c r="U37" s="490">
        <v>1973</v>
      </c>
      <c r="V37" s="490">
        <v>1881</v>
      </c>
      <c r="W37" s="490">
        <v>1912</v>
      </c>
      <c r="X37" s="148">
        <v>627</v>
      </c>
    </row>
    <row r="38" spans="1:24" ht="24" customHeight="1" thickBot="1" x14ac:dyDescent="0.2">
      <c r="A38" s="187" t="s">
        <v>365</v>
      </c>
      <c r="B38" s="973" t="s">
        <v>22</v>
      </c>
      <c r="C38" s="973"/>
      <c r="D38" s="992">
        <v>58761</v>
      </c>
      <c r="E38" s="992"/>
      <c r="F38" s="492">
        <v>3456</v>
      </c>
      <c r="G38" s="492">
        <v>3434</v>
      </c>
      <c r="H38" s="492">
        <v>3378</v>
      </c>
      <c r="I38" s="492">
        <v>3400</v>
      </c>
      <c r="J38" s="492">
        <v>2928</v>
      </c>
      <c r="K38" s="492">
        <v>3262</v>
      </c>
      <c r="L38" s="492">
        <v>3827</v>
      </c>
      <c r="M38" s="492"/>
      <c r="N38" s="492">
        <v>4115</v>
      </c>
      <c r="O38" s="492">
        <v>4693</v>
      </c>
      <c r="P38" s="492">
        <v>4117</v>
      </c>
      <c r="Q38" s="492">
        <v>3742</v>
      </c>
      <c r="R38" s="492">
        <v>3338</v>
      </c>
      <c r="S38" s="492">
        <v>3651</v>
      </c>
      <c r="T38" s="492">
        <v>2980</v>
      </c>
      <c r="U38" s="492">
        <v>2224</v>
      </c>
      <c r="V38" s="492">
        <v>2221</v>
      </c>
      <c r="W38" s="492">
        <v>3402</v>
      </c>
      <c r="X38" s="188">
        <v>593</v>
      </c>
    </row>
    <row r="39" spans="1:24" ht="16.5" customHeight="1" x14ac:dyDescent="0.15">
      <c r="W39" s="338"/>
      <c r="X39" s="339" t="s">
        <v>613</v>
      </c>
    </row>
  </sheetData>
  <sheetProtection sheet="1" objects="1" scenarios="1"/>
  <mergeCells count="90">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A14:B14"/>
    <mergeCell ref="G14:H14"/>
    <mergeCell ref="C10:E10"/>
    <mergeCell ref="G10:H10"/>
    <mergeCell ref="C8:F8"/>
    <mergeCell ref="A7:B9"/>
    <mergeCell ref="C7:F7"/>
    <mergeCell ref="G7:I7"/>
    <mergeCell ref="N11:P11"/>
    <mergeCell ref="N10:P10"/>
    <mergeCell ref="J10:K10"/>
    <mergeCell ref="G12:H12"/>
    <mergeCell ref="G8:I8"/>
    <mergeCell ref="J9:K9"/>
    <mergeCell ref="N9:P9"/>
    <mergeCell ref="W9:X9"/>
    <mergeCell ref="W11:X11"/>
    <mergeCell ref="U11:V11"/>
    <mergeCell ref="W10:X10"/>
    <mergeCell ref="Q10:R10"/>
    <mergeCell ref="U10:V10"/>
    <mergeCell ref="S10:T10"/>
    <mergeCell ref="Q11:R11"/>
    <mergeCell ref="S11:T11"/>
    <mergeCell ref="Q9:R9"/>
    <mergeCell ref="U9:V9"/>
    <mergeCell ref="S9:T9"/>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0"/>
  <sheetViews>
    <sheetView view="pageBreakPreview" zoomScaleNormal="100" zoomScaleSheetLayoutView="100" workbookViewId="0">
      <selection activeCell="K250" sqref="K250"/>
    </sheetView>
  </sheetViews>
  <sheetFormatPr defaultRowHeight="18.95" customHeight="1" x14ac:dyDescent="0.15"/>
  <cols>
    <col min="1" max="2" width="9.625" style="6" customWidth="1"/>
    <col min="3" max="8" width="11.875" style="6" customWidth="1"/>
    <col min="9" max="9" width="0.875" style="6" customWidth="1"/>
    <col min="10" max="10" width="10.875" style="6" customWidth="1"/>
    <col min="11" max="17" width="11.375" style="6" customWidth="1"/>
    <col min="18" max="16384" width="9" style="6"/>
  </cols>
  <sheetData>
    <row r="1" spans="1:17" ht="5.0999999999999996" customHeight="1" x14ac:dyDescent="0.15">
      <c r="A1" s="40"/>
      <c r="B1" s="5"/>
      <c r="J1" s="936"/>
      <c r="K1" s="936"/>
      <c r="L1" s="936"/>
      <c r="M1" s="936"/>
      <c r="N1" s="936"/>
      <c r="O1" s="936"/>
      <c r="P1" s="936"/>
      <c r="Q1" s="936"/>
    </row>
    <row r="2" spans="1:17" ht="15" customHeight="1" x14ac:dyDescent="0.15">
      <c r="A2" s="40" t="s">
        <v>366</v>
      </c>
      <c r="B2" s="5"/>
      <c r="J2" s="44"/>
      <c r="K2" s="44"/>
      <c r="L2" s="44"/>
      <c r="M2" s="44"/>
      <c r="N2" s="44"/>
      <c r="O2" s="44"/>
      <c r="P2" s="44"/>
      <c r="Q2" s="44"/>
    </row>
    <row r="3" spans="1:17" ht="5.0999999999999996" customHeight="1" x14ac:dyDescent="0.15">
      <c r="A3" s="40"/>
      <c r="B3" s="5"/>
      <c r="J3" s="44"/>
      <c r="K3" s="44"/>
      <c r="L3" s="44"/>
      <c r="M3" s="44"/>
      <c r="N3" s="44"/>
      <c r="O3" s="44"/>
      <c r="P3" s="44"/>
      <c r="Q3" s="44"/>
    </row>
    <row r="4" spans="1:17" s="75" customFormat="1" ht="48.75" customHeight="1" x14ac:dyDescent="0.15">
      <c r="A4" s="1059" t="s">
        <v>678</v>
      </c>
      <c r="B4" s="1059"/>
      <c r="C4" s="1059"/>
      <c r="D4" s="1059"/>
      <c r="E4" s="1059"/>
      <c r="F4" s="1059"/>
      <c r="G4" s="1059"/>
      <c r="H4" s="1059"/>
      <c r="I4" s="88"/>
      <c r="J4" s="989" t="s">
        <v>679</v>
      </c>
      <c r="K4" s="989"/>
      <c r="L4" s="989"/>
      <c r="M4" s="989"/>
      <c r="N4" s="989"/>
      <c r="O4" s="989"/>
      <c r="P4" s="989"/>
      <c r="Q4" s="989"/>
    </row>
    <row r="5" spans="1:17" ht="15" customHeight="1" x14ac:dyDescent="0.15">
      <c r="A5" s="5"/>
      <c r="J5" s="936"/>
      <c r="K5" s="936"/>
      <c r="L5" s="936"/>
      <c r="M5" s="936"/>
      <c r="N5" s="936"/>
      <c r="O5" s="936"/>
      <c r="P5" s="936"/>
      <c r="Q5" s="936"/>
    </row>
    <row r="6" spans="1:17" ht="15" customHeight="1" thickBot="1" x14ac:dyDescent="0.2">
      <c r="A6" s="5" t="s">
        <v>367</v>
      </c>
      <c r="J6" s="1"/>
      <c r="K6" s="1"/>
      <c r="L6" s="1"/>
      <c r="M6" s="1"/>
      <c r="N6" s="1"/>
      <c r="O6" s="1"/>
      <c r="P6" s="1"/>
      <c r="Q6" s="7" t="s">
        <v>368</v>
      </c>
    </row>
    <row r="7" spans="1:17" ht="15" customHeight="1" x14ac:dyDescent="0.15">
      <c r="A7" s="1061" t="s">
        <v>451</v>
      </c>
      <c r="B7" s="986"/>
      <c r="C7" s="913" t="s">
        <v>452</v>
      </c>
      <c r="D7" s="913"/>
      <c r="E7" s="913"/>
      <c r="F7" s="913"/>
      <c r="G7" s="1063" t="s">
        <v>567</v>
      </c>
      <c r="H7" s="1064"/>
      <c r="I7" s="373" t="s">
        <v>477</v>
      </c>
      <c r="J7" s="986" t="s">
        <v>542</v>
      </c>
      <c r="K7" s="984" t="s">
        <v>251</v>
      </c>
      <c r="L7" s="985" t="s">
        <v>453</v>
      </c>
      <c r="M7" s="986"/>
      <c r="N7" s="984" t="s">
        <v>369</v>
      </c>
      <c r="O7" s="984"/>
      <c r="P7" s="984" t="s">
        <v>370</v>
      </c>
      <c r="Q7" s="1072"/>
    </row>
    <row r="8" spans="1:17" ht="15" customHeight="1" x14ac:dyDescent="0.15">
      <c r="A8" s="981"/>
      <c r="B8" s="1000"/>
      <c r="C8" s="915"/>
      <c r="D8" s="915"/>
      <c r="E8" s="915"/>
      <c r="F8" s="915"/>
      <c r="G8" s="1065"/>
      <c r="H8" s="1066"/>
      <c r="I8" s="374"/>
      <c r="J8" s="988"/>
      <c r="K8" s="1067"/>
      <c r="L8" s="982"/>
      <c r="M8" s="1000"/>
      <c r="N8" s="1070" t="s">
        <v>455</v>
      </c>
      <c r="O8" s="1071"/>
      <c r="P8" s="1073" t="s">
        <v>454</v>
      </c>
      <c r="Q8" s="1074"/>
    </row>
    <row r="9" spans="1:17" ht="24.95" customHeight="1" x14ac:dyDescent="0.15">
      <c r="A9" s="1062"/>
      <c r="B9" s="988"/>
      <c r="C9" s="915" t="s">
        <v>643</v>
      </c>
      <c r="D9" s="915"/>
      <c r="E9" s="915" t="s">
        <v>644</v>
      </c>
      <c r="F9" s="915"/>
      <c r="G9" s="892" t="s">
        <v>566</v>
      </c>
      <c r="H9" s="892"/>
      <c r="I9" s="430"/>
      <c r="J9" s="77" t="s">
        <v>371</v>
      </c>
      <c r="K9" s="9" t="s">
        <v>372</v>
      </c>
      <c r="L9" s="20" t="s">
        <v>373</v>
      </c>
      <c r="M9" s="89"/>
      <c r="N9" s="987" t="s">
        <v>374</v>
      </c>
      <c r="O9" s="988"/>
      <c r="P9" s="1068" t="s">
        <v>375</v>
      </c>
      <c r="Q9" s="1069"/>
    </row>
    <row r="10" spans="1:17" ht="24.95" customHeight="1" x14ac:dyDescent="0.15">
      <c r="A10" s="1075" t="s">
        <v>376</v>
      </c>
      <c r="B10" s="1076"/>
      <c r="C10" s="1060">
        <v>930751</v>
      </c>
      <c r="D10" s="1060"/>
      <c r="E10" s="1060">
        <v>971772</v>
      </c>
      <c r="F10" s="1060"/>
      <c r="G10" s="1060">
        <f>E10-C10</f>
        <v>41021</v>
      </c>
      <c r="H10" s="1060"/>
      <c r="I10" s="90"/>
      <c r="J10" s="136">
        <f>G10/C10*100</f>
        <v>4.4073012008582317</v>
      </c>
      <c r="K10" s="385">
        <v>134.19</v>
      </c>
      <c r="L10" s="991">
        <f>E10/K10</f>
        <v>7241.7616811983007</v>
      </c>
      <c r="M10" s="991"/>
      <c r="N10" s="1077">
        <f>(E10/1392818)*100</f>
        <v>69.770206875557335</v>
      </c>
      <c r="O10" s="1077"/>
      <c r="P10" s="1047">
        <f>(K10/2276.15)*100</f>
        <v>5.8954814050040634</v>
      </c>
      <c r="Q10" s="1048"/>
    </row>
    <row r="11" spans="1:17" ht="24.95" customHeight="1" x14ac:dyDescent="0.15">
      <c r="A11" s="1049" t="s">
        <v>377</v>
      </c>
      <c r="B11" s="1050"/>
      <c r="C11" s="991">
        <v>314951</v>
      </c>
      <c r="D11" s="991"/>
      <c r="E11" s="991">
        <v>318151</v>
      </c>
      <c r="F11" s="991"/>
      <c r="G11" s="991">
        <f t="shared" ref="G11:G20" si="0">E11-C11</f>
        <v>3200</v>
      </c>
      <c r="H11" s="991"/>
      <c r="I11" s="90"/>
      <c r="J11" s="136">
        <f>G11/C11*100</f>
        <v>1.016031065149817</v>
      </c>
      <c r="K11" s="386">
        <v>38.4</v>
      </c>
      <c r="L11" s="991">
        <f>E11/K11</f>
        <v>8285.1822916666679</v>
      </c>
      <c r="M11" s="991"/>
      <c r="N11" s="1055">
        <f>(E11/315954)*100</f>
        <v>100.69535438703103</v>
      </c>
      <c r="O11" s="1055"/>
      <c r="P11" s="1047">
        <f>(K11/39.24)*100</f>
        <v>97.859327217125369</v>
      </c>
      <c r="Q11" s="1048"/>
    </row>
    <row r="12" spans="1:17" ht="24.95" customHeight="1" x14ac:dyDescent="0.15">
      <c r="A12" s="1049" t="s">
        <v>212</v>
      </c>
      <c r="B12" s="1050"/>
      <c r="C12" s="991">
        <v>91119</v>
      </c>
      <c r="D12" s="991"/>
      <c r="E12" s="991">
        <v>95504</v>
      </c>
      <c r="F12" s="991"/>
      <c r="G12" s="991">
        <f t="shared" si="0"/>
        <v>4385</v>
      </c>
      <c r="H12" s="991"/>
      <c r="I12" s="90"/>
      <c r="J12" s="136">
        <f t="shared" ref="J12:J20" si="1">G12/C12*100</f>
        <v>4.8123881956562293</v>
      </c>
      <c r="K12" s="386">
        <v>12.69</v>
      </c>
      <c r="L12" s="991">
        <f>E12/K12</f>
        <v>7525.9259259259261</v>
      </c>
      <c r="M12" s="991"/>
      <c r="N12" s="1055">
        <f>(E12/91928)*100</f>
        <v>103.8900008702463</v>
      </c>
      <c r="O12" s="1055"/>
      <c r="P12" s="1047">
        <f>(K12/19.7)*100</f>
        <v>64.416243654822338</v>
      </c>
      <c r="Q12" s="1048"/>
    </row>
    <row r="13" spans="1:17" ht="24.95" customHeight="1" x14ac:dyDescent="0.15">
      <c r="A13" s="1049" t="s">
        <v>378</v>
      </c>
      <c r="B13" s="1050"/>
      <c r="C13" s="991">
        <v>31229</v>
      </c>
      <c r="D13" s="991"/>
      <c r="E13" s="991">
        <v>31425</v>
      </c>
      <c r="F13" s="991"/>
      <c r="G13" s="908">
        <f>E13-C13</f>
        <v>196</v>
      </c>
      <c r="H13" s="908"/>
      <c r="I13" s="90"/>
      <c r="J13" s="521">
        <f t="shared" si="1"/>
        <v>0.62762176182394569</v>
      </c>
      <c r="K13" s="386">
        <v>5.15</v>
      </c>
      <c r="L13" s="991">
        <f t="shared" ref="L13:L19" si="2">E13/K13</f>
        <v>6101.9417475728151</v>
      </c>
      <c r="M13" s="991"/>
      <c r="N13" s="1055">
        <f>(E13/46922)*100</f>
        <v>66.972848557180001</v>
      </c>
      <c r="O13" s="1055"/>
      <c r="P13" s="1047">
        <f>(K13/229)*100</f>
        <v>2.2489082969432315</v>
      </c>
      <c r="Q13" s="1048"/>
    </row>
    <row r="14" spans="1:17" ht="24.95" customHeight="1" x14ac:dyDescent="0.15">
      <c r="A14" s="1051" t="s">
        <v>379</v>
      </c>
      <c r="B14" s="1052"/>
      <c r="C14" s="999">
        <v>106447</v>
      </c>
      <c r="D14" s="999"/>
      <c r="E14" s="999">
        <v>111169</v>
      </c>
      <c r="F14" s="999"/>
      <c r="G14" s="999">
        <f t="shared" si="0"/>
        <v>4722</v>
      </c>
      <c r="H14" s="999"/>
      <c r="I14" s="91"/>
      <c r="J14" s="137">
        <f t="shared" si="1"/>
        <v>4.4360104089359025</v>
      </c>
      <c r="K14" s="387">
        <v>12.47</v>
      </c>
      <c r="L14" s="999">
        <f t="shared" si="2"/>
        <v>8914.915797914995</v>
      </c>
      <c r="M14" s="999"/>
      <c r="N14" s="1078">
        <f>(E14/110351)*100</f>
        <v>100.74127103515147</v>
      </c>
      <c r="O14" s="1078"/>
      <c r="P14" s="1053">
        <f>(K14/19.09)*100</f>
        <v>65.322158198009433</v>
      </c>
      <c r="Q14" s="1054"/>
    </row>
    <row r="15" spans="1:17" ht="24.95" customHeight="1" x14ac:dyDescent="0.15">
      <c r="A15" s="1049" t="s">
        <v>380</v>
      </c>
      <c r="B15" s="1050"/>
      <c r="C15" s="991">
        <v>24500</v>
      </c>
      <c r="D15" s="991"/>
      <c r="E15" s="991">
        <v>25270</v>
      </c>
      <c r="F15" s="991"/>
      <c r="G15" s="991">
        <f t="shared" si="0"/>
        <v>770</v>
      </c>
      <c r="H15" s="991"/>
      <c r="I15" s="90"/>
      <c r="J15" s="136">
        <f t="shared" si="1"/>
        <v>3.1428571428571432</v>
      </c>
      <c r="K15" s="386">
        <v>4.5999999999999996</v>
      </c>
      <c r="L15" s="991">
        <v>5494</v>
      </c>
      <c r="M15" s="991"/>
      <c r="N15" s="1055">
        <f>(E15/60231)*100</f>
        <v>41.955139380053467</v>
      </c>
      <c r="O15" s="1055"/>
      <c r="P15" s="1047">
        <f>(K15/210.37)*100</f>
        <v>2.1866235679992392</v>
      </c>
      <c r="Q15" s="1048"/>
    </row>
    <row r="16" spans="1:17" ht="24.95" customHeight="1" x14ac:dyDescent="0.15">
      <c r="A16" s="1049" t="s">
        <v>381</v>
      </c>
      <c r="B16" s="1050"/>
      <c r="C16" s="991">
        <v>32684</v>
      </c>
      <c r="D16" s="991"/>
      <c r="E16" s="991">
        <v>33830</v>
      </c>
      <c r="F16" s="991"/>
      <c r="G16" s="991">
        <f t="shared" si="0"/>
        <v>1146</v>
      </c>
      <c r="H16" s="991"/>
      <c r="I16" s="90"/>
      <c r="J16" s="136">
        <f t="shared" si="1"/>
        <v>3.5063027781177336</v>
      </c>
      <c r="K16" s="386">
        <v>6.39</v>
      </c>
      <c r="L16" s="991">
        <f t="shared" si="2"/>
        <v>5294.2097026604069</v>
      </c>
      <c r="M16" s="991"/>
      <c r="N16" s="1055">
        <f>(E16/57320)*100</f>
        <v>59.019539427773907</v>
      </c>
      <c r="O16" s="1055"/>
      <c r="P16" s="1047">
        <f>(K16/46.63)*100</f>
        <v>13.703624276217028</v>
      </c>
      <c r="Q16" s="1048"/>
    </row>
    <row r="17" spans="1:17" ht="24.95" customHeight="1" x14ac:dyDescent="0.15">
      <c r="A17" s="1049" t="s">
        <v>382</v>
      </c>
      <c r="B17" s="1050"/>
      <c r="C17" s="991">
        <v>112748</v>
      </c>
      <c r="D17" s="991"/>
      <c r="E17" s="991">
        <v>122197</v>
      </c>
      <c r="F17" s="991"/>
      <c r="G17" s="991">
        <f t="shared" si="0"/>
        <v>9449</v>
      </c>
      <c r="H17" s="991"/>
      <c r="I17" s="92"/>
      <c r="J17" s="136">
        <f t="shared" si="1"/>
        <v>8.3806364636179804</v>
      </c>
      <c r="K17" s="386">
        <v>16.8</v>
      </c>
      <c r="L17" s="991">
        <f t="shared" si="2"/>
        <v>7273.6309523809523</v>
      </c>
      <c r="M17" s="991"/>
      <c r="N17" s="1055">
        <f>(E17/130249)*100</f>
        <v>93.817994763875348</v>
      </c>
      <c r="O17" s="1055"/>
      <c r="P17" s="1047">
        <f>(K17/49)*100</f>
        <v>34.285714285714285</v>
      </c>
      <c r="Q17" s="1048"/>
    </row>
    <row r="18" spans="1:17" ht="24.95" customHeight="1" x14ac:dyDescent="0.15">
      <c r="A18" s="1049" t="s">
        <v>224</v>
      </c>
      <c r="B18" s="1050"/>
      <c r="C18" s="991">
        <v>37788</v>
      </c>
      <c r="D18" s="991"/>
      <c r="E18" s="991">
        <v>39139</v>
      </c>
      <c r="F18" s="991"/>
      <c r="G18" s="991">
        <f t="shared" si="0"/>
        <v>1351</v>
      </c>
      <c r="H18" s="991"/>
      <c r="I18" s="90"/>
      <c r="J18" s="136">
        <f t="shared" si="1"/>
        <v>3.5752090610775911</v>
      </c>
      <c r="K18" s="386">
        <v>4.57</v>
      </c>
      <c r="L18" s="991">
        <f t="shared" si="2"/>
        <v>8564.3326039387302</v>
      </c>
      <c r="M18" s="991"/>
      <c r="N18" s="1055">
        <f>(E18/57261)*100</f>
        <v>68.351932379804765</v>
      </c>
      <c r="O18" s="1055"/>
      <c r="P18" s="1047">
        <f>(K18/19.45)*100</f>
        <v>23.496143958868899</v>
      </c>
      <c r="Q18" s="1048"/>
    </row>
    <row r="19" spans="1:17" ht="24.95" customHeight="1" x14ac:dyDescent="0.15">
      <c r="A19" s="1049" t="s">
        <v>208</v>
      </c>
      <c r="B19" s="1050"/>
      <c r="C19" s="991">
        <v>57375</v>
      </c>
      <c r="D19" s="991"/>
      <c r="E19" s="991">
        <v>59166</v>
      </c>
      <c r="F19" s="991"/>
      <c r="G19" s="991">
        <f t="shared" si="0"/>
        <v>1791</v>
      </c>
      <c r="H19" s="991"/>
      <c r="I19" s="90"/>
      <c r="J19" s="136">
        <f t="shared" si="1"/>
        <v>3.1215686274509804</v>
      </c>
      <c r="K19" s="386">
        <v>10.24</v>
      </c>
      <c r="L19" s="991">
        <f t="shared" si="2"/>
        <v>5777.9296875</v>
      </c>
      <c r="M19" s="991"/>
      <c r="N19" s="1055">
        <f>(E19/116979)*100</f>
        <v>50.578308927243356</v>
      </c>
      <c r="O19" s="1055"/>
      <c r="P19" s="1047">
        <f>(K19/86.08)*100</f>
        <v>11.895910780669146</v>
      </c>
      <c r="Q19" s="1048"/>
    </row>
    <row r="20" spans="1:17" ht="24.95" customHeight="1" thickBot="1" x14ac:dyDescent="0.2">
      <c r="A20" s="1043" t="s">
        <v>210</v>
      </c>
      <c r="B20" s="1044"/>
      <c r="C20" s="1045">
        <v>17176</v>
      </c>
      <c r="D20" s="1045"/>
      <c r="E20" s="1045">
        <v>17314</v>
      </c>
      <c r="F20" s="1045"/>
      <c r="G20" s="1045">
        <f t="shared" si="0"/>
        <v>138</v>
      </c>
      <c r="H20" s="1045"/>
      <c r="I20" s="132"/>
      <c r="J20" s="522">
        <f t="shared" si="1"/>
        <v>0.80344666977177448</v>
      </c>
      <c r="K20" s="388">
        <v>3.63</v>
      </c>
      <c r="L20" s="1045">
        <f>E20/K20</f>
        <v>4769.69696969697</v>
      </c>
      <c r="M20" s="1045"/>
      <c r="N20" s="1058">
        <f>(E20/52039)*100</f>
        <v>33.271200445819481</v>
      </c>
      <c r="O20" s="1058"/>
      <c r="P20" s="1056">
        <f>(K20/204.57)*100</f>
        <v>1.7744537322188003</v>
      </c>
      <c r="Q20" s="1057"/>
    </row>
    <row r="21" spans="1:17" ht="15" customHeight="1" x14ac:dyDescent="0.15">
      <c r="A21" s="5" t="s">
        <v>383</v>
      </c>
      <c r="J21" s="1"/>
      <c r="K21" s="1"/>
      <c r="L21" s="1"/>
      <c r="M21" s="1"/>
      <c r="N21" s="1"/>
      <c r="Q21" s="7" t="s">
        <v>645</v>
      </c>
    </row>
    <row r="22" spans="1:17" ht="15" customHeight="1" x14ac:dyDescent="0.15">
      <c r="J22" s="1"/>
      <c r="K22" s="1"/>
      <c r="L22" s="1"/>
      <c r="M22" s="1"/>
      <c r="N22" s="1"/>
      <c r="O22" s="1"/>
      <c r="P22" s="1"/>
    </row>
    <row r="23" spans="1:17" ht="15" customHeight="1" thickBot="1" x14ac:dyDescent="0.2">
      <c r="A23" s="5" t="s">
        <v>15</v>
      </c>
      <c r="J23" s="1"/>
      <c r="K23" s="1"/>
      <c r="L23" s="1"/>
      <c r="M23" s="1"/>
      <c r="N23" s="1"/>
      <c r="O23" s="1"/>
      <c r="P23" s="1"/>
      <c r="Q23" s="7" t="s">
        <v>28</v>
      </c>
    </row>
    <row r="24" spans="1:17" ht="15" customHeight="1" x14ac:dyDescent="0.15">
      <c r="A24" s="138"/>
      <c r="B24" s="139"/>
      <c r="C24" s="984" t="s">
        <v>386</v>
      </c>
      <c r="D24" s="913" t="s">
        <v>384</v>
      </c>
      <c r="E24" s="913"/>
      <c r="F24" s="913"/>
      <c r="G24" s="913"/>
      <c r="H24" s="140"/>
      <c r="I24" s="141"/>
      <c r="J24" s="933" t="s">
        <v>385</v>
      </c>
      <c r="K24" s="933"/>
      <c r="L24" s="933"/>
      <c r="M24" s="933"/>
      <c r="N24" s="933"/>
      <c r="O24" s="933"/>
      <c r="P24" s="933"/>
      <c r="Q24" s="142"/>
    </row>
    <row r="25" spans="1:17" ht="15" customHeight="1" x14ac:dyDescent="0.15">
      <c r="A25" s="143"/>
      <c r="B25" s="94"/>
      <c r="C25" s="976"/>
      <c r="D25" s="915"/>
      <c r="E25" s="915"/>
      <c r="F25" s="915"/>
      <c r="G25" s="915"/>
      <c r="H25" s="11"/>
      <c r="I25" s="57"/>
      <c r="J25" s="893"/>
      <c r="K25" s="893"/>
      <c r="L25" s="893"/>
      <c r="M25" s="893"/>
      <c r="N25" s="893"/>
      <c r="O25" s="893"/>
      <c r="P25" s="893"/>
      <c r="Q25" s="144" t="s">
        <v>305</v>
      </c>
    </row>
    <row r="26" spans="1:17" ht="24.95" customHeight="1" x14ac:dyDescent="0.15">
      <c r="A26" s="145"/>
      <c r="B26" s="95"/>
      <c r="C26" s="1019"/>
      <c r="D26" s="10" t="s">
        <v>349</v>
      </c>
      <c r="E26" s="10" t="s">
        <v>350</v>
      </c>
      <c r="F26" s="10" t="s">
        <v>351</v>
      </c>
      <c r="G26" s="10" t="s">
        <v>352</v>
      </c>
      <c r="H26" s="153" t="s">
        <v>387</v>
      </c>
      <c r="I26" s="341"/>
      <c r="J26" s="47" t="s">
        <v>353</v>
      </c>
      <c r="K26" s="10" t="s">
        <v>299</v>
      </c>
      <c r="L26" s="10" t="s">
        <v>300</v>
      </c>
      <c r="M26" s="10" t="s">
        <v>301</v>
      </c>
      <c r="N26" s="10" t="s">
        <v>302</v>
      </c>
      <c r="O26" s="10" t="s">
        <v>303</v>
      </c>
      <c r="P26" s="10" t="s">
        <v>304</v>
      </c>
      <c r="Q26" s="131"/>
    </row>
    <row r="27" spans="1:17" ht="21" customHeight="1" x14ac:dyDescent="0.15">
      <c r="A27" s="146"/>
      <c r="B27" s="93"/>
      <c r="C27" s="63"/>
      <c r="D27" s="53"/>
      <c r="E27" s="96"/>
      <c r="F27" s="53"/>
      <c r="G27" s="53"/>
      <c r="H27" s="22"/>
      <c r="I27" s="22"/>
      <c r="J27" s="53"/>
      <c r="K27" s="53"/>
      <c r="L27" s="53"/>
      <c r="M27" s="53"/>
      <c r="N27" s="53"/>
      <c r="O27" s="53"/>
      <c r="P27" s="53"/>
      <c r="Q27" s="147"/>
    </row>
    <row r="28" spans="1:17" ht="24.95" customHeight="1" x14ac:dyDescent="0.15">
      <c r="A28" s="975" t="s">
        <v>388</v>
      </c>
      <c r="B28" s="976"/>
      <c r="C28" s="18">
        <f>SUM(D28,H28,Q28)</f>
        <v>971772</v>
      </c>
      <c r="D28" s="2">
        <f>SUM(E28:G28)</f>
        <v>170707</v>
      </c>
      <c r="E28" s="329">
        <v>57182</v>
      </c>
      <c r="F28" s="329">
        <v>56960</v>
      </c>
      <c r="G28" s="329">
        <v>56565</v>
      </c>
      <c r="H28" s="2">
        <f>SUM(J28:P28)</f>
        <v>611231</v>
      </c>
      <c r="I28" s="2"/>
      <c r="J28" s="329">
        <v>55878</v>
      </c>
      <c r="K28" s="329">
        <v>49416</v>
      </c>
      <c r="L28" s="329">
        <v>55155</v>
      </c>
      <c r="M28" s="329">
        <v>62634</v>
      </c>
      <c r="N28" s="329">
        <v>143008</v>
      </c>
      <c r="O28" s="329">
        <v>124511</v>
      </c>
      <c r="P28" s="329">
        <v>120629</v>
      </c>
      <c r="Q28" s="330">
        <v>189834</v>
      </c>
    </row>
    <row r="29" spans="1:17" ht="21" customHeight="1" x14ac:dyDescent="0.15">
      <c r="A29" s="259"/>
      <c r="B29" s="328"/>
      <c r="C29" s="3"/>
      <c r="D29" s="2"/>
      <c r="E29" s="2"/>
      <c r="F29" s="2"/>
      <c r="G29" s="2"/>
      <c r="H29" s="2"/>
      <c r="I29" s="2"/>
      <c r="J29" s="2"/>
      <c r="L29" s="2"/>
      <c r="M29" s="2"/>
      <c r="N29" s="2"/>
      <c r="O29" s="2"/>
      <c r="P29" s="2"/>
      <c r="Q29" s="331"/>
    </row>
    <row r="30" spans="1:17" ht="21" customHeight="1" x14ac:dyDescent="0.15">
      <c r="A30" s="259"/>
      <c r="B30" s="328"/>
      <c r="C30" s="3"/>
      <c r="D30" s="2"/>
      <c r="E30" s="2"/>
      <c r="F30" s="2"/>
      <c r="G30" s="2"/>
      <c r="H30" s="2"/>
      <c r="I30" s="2"/>
      <c r="J30" s="2"/>
      <c r="L30" s="2"/>
      <c r="M30" s="2"/>
      <c r="N30" s="2"/>
      <c r="O30" s="2"/>
      <c r="P30" s="2"/>
      <c r="Q30" s="148"/>
    </row>
    <row r="31" spans="1:17" ht="24.95" customHeight="1" x14ac:dyDescent="0.15">
      <c r="A31" s="981" t="s">
        <v>389</v>
      </c>
      <c r="B31" s="1046"/>
      <c r="C31" s="3">
        <f>SUM(D31,H31,Q31)</f>
        <v>853165</v>
      </c>
      <c r="D31" s="2">
        <f>SUM(E31:G31)</f>
        <v>148037</v>
      </c>
      <c r="E31" s="329">
        <v>49325</v>
      </c>
      <c r="F31" s="329">
        <v>49385</v>
      </c>
      <c r="G31" s="329">
        <v>49327</v>
      </c>
      <c r="H31" s="2">
        <f>SUM(J31:P31)</f>
        <v>537842</v>
      </c>
      <c r="I31" s="2"/>
      <c r="J31" s="329">
        <v>49069</v>
      </c>
      <c r="K31" s="2">
        <v>43576</v>
      </c>
      <c r="L31" s="329">
        <v>48397</v>
      </c>
      <c r="M31" s="329">
        <v>54803</v>
      </c>
      <c r="N31" s="329">
        <v>125719</v>
      </c>
      <c r="O31" s="329">
        <v>110442</v>
      </c>
      <c r="P31" s="329">
        <v>105836</v>
      </c>
      <c r="Q31" s="330">
        <v>167286</v>
      </c>
    </row>
    <row r="32" spans="1:17" ht="21" customHeight="1" x14ac:dyDescent="0.15">
      <c r="A32" s="259"/>
      <c r="B32" s="327"/>
      <c r="C32" s="18"/>
      <c r="D32" s="2"/>
      <c r="E32" s="2"/>
      <c r="F32" s="2"/>
      <c r="G32" s="2"/>
      <c r="H32" s="2"/>
      <c r="I32" s="2"/>
      <c r="J32" s="97"/>
      <c r="K32" s="97"/>
      <c r="L32" s="97"/>
      <c r="M32" s="97"/>
      <c r="N32" s="97"/>
      <c r="O32" s="97"/>
      <c r="P32" s="97"/>
      <c r="Q32" s="333"/>
    </row>
    <row r="33" spans="1:17" ht="21" customHeight="1" x14ac:dyDescent="0.15">
      <c r="A33" s="259"/>
      <c r="B33" s="327"/>
      <c r="C33" s="18"/>
      <c r="D33" s="2"/>
      <c r="E33" s="2"/>
      <c r="F33" s="2"/>
      <c r="G33" s="2"/>
      <c r="H33" s="2"/>
      <c r="I33" s="2"/>
      <c r="J33" s="2"/>
      <c r="K33" s="2"/>
      <c r="L33" s="2"/>
      <c r="M33" s="2"/>
      <c r="N33" s="2"/>
      <c r="O33" s="2"/>
      <c r="P33" s="2"/>
      <c r="Q33" s="148"/>
    </row>
    <row r="34" spans="1:17" ht="24.95" customHeight="1" x14ac:dyDescent="0.15">
      <c r="A34" s="975" t="s">
        <v>390</v>
      </c>
      <c r="B34" s="976"/>
      <c r="C34" s="18">
        <f>SUM(D34,H34,Q34)</f>
        <v>118607</v>
      </c>
      <c r="D34" s="2">
        <f>SUM(E34:G34)</f>
        <v>22670</v>
      </c>
      <c r="E34" s="329">
        <v>7857</v>
      </c>
      <c r="F34" s="329">
        <v>7575</v>
      </c>
      <c r="G34" s="329">
        <v>7238</v>
      </c>
      <c r="H34" s="2">
        <f>SUM(J34:P34)</f>
        <v>73389</v>
      </c>
      <c r="I34" s="2"/>
      <c r="J34" s="329">
        <v>6809</v>
      </c>
      <c r="K34" s="2">
        <v>5840</v>
      </c>
      <c r="L34" s="329">
        <v>6758</v>
      </c>
      <c r="M34" s="329">
        <v>7831</v>
      </c>
      <c r="N34" s="329">
        <v>17289</v>
      </c>
      <c r="O34" s="329">
        <v>14069</v>
      </c>
      <c r="P34" s="329">
        <v>14793</v>
      </c>
      <c r="Q34" s="330">
        <v>22548</v>
      </c>
    </row>
    <row r="35" spans="1:17" ht="21" customHeight="1" thickBot="1" x14ac:dyDescent="0.2">
      <c r="A35" s="149"/>
      <c r="B35" s="150"/>
      <c r="C35" s="151"/>
      <c r="D35" s="135"/>
      <c r="E35" s="135"/>
      <c r="F35" s="135"/>
      <c r="G35" s="135"/>
      <c r="H35" s="135"/>
      <c r="I35" s="135"/>
      <c r="J35" s="152"/>
      <c r="K35" s="152"/>
      <c r="L35" s="152"/>
      <c r="M35" s="152"/>
      <c r="N35" s="152"/>
      <c r="O35" s="152"/>
      <c r="P35" s="152"/>
      <c r="Q35" s="332"/>
    </row>
    <row r="36" spans="1:17" ht="15" customHeight="1" x14ac:dyDescent="0.15">
      <c r="P36" s="5"/>
      <c r="Q36" s="7" t="s">
        <v>646</v>
      </c>
    </row>
    <row r="37" spans="1:17" ht="15" customHeight="1" x14ac:dyDescent="0.15">
      <c r="A37" s="5" t="s">
        <v>391</v>
      </c>
    </row>
    <row r="38" spans="1:17" ht="15" customHeight="1" x14ac:dyDescent="0.15">
      <c r="A38" s="5" t="s">
        <v>546</v>
      </c>
      <c r="J38" s="5" t="s">
        <v>392</v>
      </c>
    </row>
    <row r="39" spans="1:17" ht="15" customHeight="1" x14ac:dyDescent="0.15">
      <c r="A39" s="5" t="s">
        <v>547</v>
      </c>
      <c r="J39" s="5" t="s">
        <v>393</v>
      </c>
    </row>
    <row r="40" spans="1:17" ht="15" customHeight="1" x14ac:dyDescent="0.15">
      <c r="A40" s="5" t="s">
        <v>548</v>
      </c>
      <c r="J40" s="1"/>
      <c r="K40" s="1"/>
      <c r="L40" s="1"/>
      <c r="M40" s="1"/>
      <c r="N40" s="1"/>
      <c r="O40" s="1"/>
      <c r="P40" s="1"/>
    </row>
  </sheetData>
  <sheetProtection sheet="1" objects="1" scenarios="1"/>
  <mergeCells count="102">
    <mergeCell ref="P12:Q12"/>
    <mergeCell ref="N10:O10"/>
    <mergeCell ref="P13:Q13"/>
    <mergeCell ref="G14:H14"/>
    <mergeCell ref="L14:M14"/>
    <mergeCell ref="N14:O14"/>
    <mergeCell ref="L10:M10"/>
    <mergeCell ref="L12:M12"/>
    <mergeCell ref="L13:M13"/>
    <mergeCell ref="N11:O11"/>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0"/>
  <sheetViews>
    <sheetView view="pageBreakPreview" topLeftCell="A25" zoomScale="85" zoomScaleNormal="100" zoomScaleSheetLayoutView="85" workbookViewId="0">
      <pane xSplit="2" topLeftCell="E1" activePane="topRight" state="frozen"/>
      <selection activeCell="K250" sqref="K250"/>
      <selection pane="topRight" activeCell="K250" sqref="K250"/>
    </sheetView>
  </sheetViews>
  <sheetFormatPr defaultRowHeight="18.95" customHeight="1" x14ac:dyDescent="0.15"/>
  <cols>
    <col min="1" max="2" width="9.625" style="6" customWidth="1"/>
    <col min="3" max="3" width="15.125" style="6" customWidth="1"/>
    <col min="4" max="8" width="11.375" style="6" customWidth="1"/>
    <col min="9" max="9" width="0.875" style="6" customWidth="1"/>
    <col min="10" max="10" width="10.875" style="6" customWidth="1"/>
    <col min="11" max="17" width="11.375" style="6" customWidth="1"/>
    <col min="18" max="16384" width="9" style="6"/>
  </cols>
  <sheetData>
    <row r="1" spans="1:17" ht="5.0999999999999996" customHeight="1" x14ac:dyDescent="0.15">
      <c r="A1" s="40"/>
      <c r="B1" s="5"/>
      <c r="J1" s="936"/>
      <c r="K1" s="936"/>
      <c r="L1" s="936"/>
      <c r="M1" s="936"/>
      <c r="N1" s="936"/>
      <c r="O1" s="936"/>
      <c r="P1" s="936"/>
      <c r="Q1" s="936"/>
    </row>
    <row r="2" spans="1:17" ht="15" customHeight="1" x14ac:dyDescent="0.15">
      <c r="A2" s="40" t="s">
        <v>366</v>
      </c>
      <c r="B2" s="5"/>
      <c r="J2" s="44"/>
      <c r="K2" s="44"/>
      <c r="L2" s="44"/>
      <c r="M2" s="44"/>
      <c r="N2" s="44"/>
      <c r="O2" s="44"/>
      <c r="P2" s="44"/>
      <c r="Q2" s="44"/>
    </row>
    <row r="3" spans="1:17" ht="5.0999999999999996" customHeight="1" x14ac:dyDescent="0.15">
      <c r="A3" s="40"/>
      <c r="B3" s="5"/>
      <c r="J3" s="44"/>
      <c r="K3" s="44"/>
      <c r="L3" s="44"/>
      <c r="M3" s="44"/>
      <c r="N3" s="44"/>
      <c r="O3" s="44"/>
      <c r="P3" s="44"/>
      <c r="Q3" s="44"/>
    </row>
    <row r="4" spans="1:17" s="75" customFormat="1" ht="49.5" customHeight="1" x14ac:dyDescent="0.15">
      <c r="A4" s="1059" t="s">
        <v>678</v>
      </c>
      <c r="B4" s="1059"/>
      <c r="C4" s="1059"/>
      <c r="D4" s="1059"/>
      <c r="E4" s="1059"/>
      <c r="F4" s="1059"/>
      <c r="G4" s="1059"/>
      <c r="H4" s="1059"/>
      <c r="I4" s="88"/>
      <c r="J4" s="989" t="s">
        <v>679</v>
      </c>
      <c r="K4" s="989"/>
      <c r="L4" s="989"/>
      <c r="M4" s="989"/>
      <c r="N4" s="989"/>
      <c r="O4" s="989"/>
      <c r="P4" s="989"/>
      <c r="Q4" s="989"/>
    </row>
    <row r="5" spans="1:17" ht="15" customHeight="1" x14ac:dyDescent="0.15">
      <c r="A5" s="5"/>
      <c r="J5" s="936"/>
      <c r="K5" s="936"/>
      <c r="L5" s="936"/>
      <c r="M5" s="936"/>
      <c r="N5" s="936"/>
      <c r="O5" s="936"/>
      <c r="P5" s="936"/>
      <c r="Q5" s="936"/>
    </row>
    <row r="6" spans="1:17" ht="15" customHeight="1" thickBot="1" x14ac:dyDescent="0.2">
      <c r="A6" s="5" t="s">
        <v>367</v>
      </c>
      <c r="J6" s="1"/>
      <c r="K6" s="1"/>
      <c r="L6" s="1"/>
      <c r="M6" s="1"/>
      <c r="N6" s="1"/>
      <c r="O6" s="1"/>
      <c r="P6" s="1"/>
      <c r="Q6" s="7" t="s">
        <v>368</v>
      </c>
    </row>
    <row r="7" spans="1:17" ht="15" customHeight="1" x14ac:dyDescent="0.15">
      <c r="A7" s="1061" t="s">
        <v>451</v>
      </c>
      <c r="B7" s="986"/>
      <c r="C7" s="913" t="s">
        <v>452</v>
      </c>
      <c r="D7" s="913"/>
      <c r="E7" s="913"/>
      <c r="F7" s="913"/>
      <c r="G7" s="1063" t="s">
        <v>567</v>
      </c>
      <c r="H7" s="1064"/>
      <c r="I7" s="373" t="s">
        <v>477</v>
      </c>
      <c r="J7" s="986" t="s">
        <v>542</v>
      </c>
      <c r="K7" s="984" t="s">
        <v>251</v>
      </c>
      <c r="L7" s="985" t="s">
        <v>453</v>
      </c>
      <c r="M7" s="986"/>
      <c r="N7" s="984" t="s">
        <v>369</v>
      </c>
      <c r="O7" s="984"/>
      <c r="P7" s="984" t="s">
        <v>370</v>
      </c>
      <c r="Q7" s="1072"/>
    </row>
    <row r="8" spans="1:17" ht="15" customHeight="1" x14ac:dyDescent="0.15">
      <c r="A8" s="981"/>
      <c r="B8" s="1000"/>
      <c r="C8" s="915"/>
      <c r="D8" s="915"/>
      <c r="E8" s="915"/>
      <c r="F8" s="915"/>
      <c r="G8" s="1065"/>
      <c r="H8" s="1066"/>
      <c r="I8" s="374"/>
      <c r="J8" s="988"/>
      <c r="K8" s="1067"/>
      <c r="L8" s="982"/>
      <c r="M8" s="1000"/>
      <c r="N8" s="1070" t="s">
        <v>455</v>
      </c>
      <c r="O8" s="1071"/>
      <c r="P8" s="1073" t="s">
        <v>454</v>
      </c>
      <c r="Q8" s="1074"/>
    </row>
    <row r="9" spans="1:17" ht="24.95" customHeight="1" x14ac:dyDescent="0.15">
      <c r="A9" s="1062"/>
      <c r="B9" s="988"/>
      <c r="C9" s="915" t="s">
        <v>643</v>
      </c>
      <c r="D9" s="915"/>
      <c r="E9" s="915" t="s">
        <v>644</v>
      </c>
      <c r="F9" s="915"/>
      <c r="G9" s="892" t="s">
        <v>565</v>
      </c>
      <c r="H9" s="892"/>
      <c r="I9" s="502"/>
      <c r="J9" s="499" t="s">
        <v>371</v>
      </c>
      <c r="K9" s="504" t="s">
        <v>372</v>
      </c>
      <c r="L9" s="20" t="s">
        <v>373</v>
      </c>
      <c r="M9" s="89"/>
      <c r="N9" s="987" t="s">
        <v>374</v>
      </c>
      <c r="O9" s="988"/>
      <c r="P9" s="1068" t="s">
        <v>375</v>
      </c>
      <c r="Q9" s="1069"/>
    </row>
    <row r="10" spans="1:17" ht="24.95" customHeight="1" x14ac:dyDescent="0.15">
      <c r="A10" s="1075" t="s">
        <v>376</v>
      </c>
      <c r="B10" s="1076"/>
      <c r="C10" s="1060">
        <v>930751</v>
      </c>
      <c r="D10" s="1060"/>
      <c r="E10" s="1060">
        <v>971772</v>
      </c>
      <c r="F10" s="1060"/>
      <c r="G10" s="1060">
        <f>E10-C10</f>
        <v>41021</v>
      </c>
      <c r="H10" s="1060"/>
      <c r="I10" s="90"/>
      <c r="J10" s="508">
        <f>G10/C10*100</f>
        <v>4.4073012008582317</v>
      </c>
      <c r="K10" s="385">
        <v>134.19</v>
      </c>
      <c r="L10" s="991">
        <f>E10/K10</f>
        <v>7241.7616811983007</v>
      </c>
      <c r="M10" s="991"/>
      <c r="N10" s="1088">
        <f>(E10/1433566)*100</f>
        <v>67.787042940471522</v>
      </c>
      <c r="O10" s="1088"/>
      <c r="P10" s="1081">
        <f>(K10/2281.12)*100</f>
        <v>5.8826365995651262</v>
      </c>
      <c r="Q10" s="1082"/>
    </row>
    <row r="11" spans="1:17" ht="24.95" customHeight="1" x14ac:dyDescent="0.15">
      <c r="A11" s="1049" t="s">
        <v>377</v>
      </c>
      <c r="B11" s="1050"/>
      <c r="C11" s="991">
        <v>314951</v>
      </c>
      <c r="D11" s="991"/>
      <c r="E11" s="991">
        <v>318151</v>
      </c>
      <c r="F11" s="991"/>
      <c r="G11" s="991">
        <f t="shared" ref="G11:G20" si="0">E11-C11</f>
        <v>3200</v>
      </c>
      <c r="H11" s="991"/>
      <c r="I11" s="90"/>
      <c r="J11" s="508">
        <f>G11/C11*100</f>
        <v>1.016031065149817</v>
      </c>
      <c r="K11" s="386">
        <v>38.4</v>
      </c>
      <c r="L11" s="991">
        <f>E11/K11</f>
        <v>8285.1822916666679</v>
      </c>
      <c r="M11" s="991"/>
      <c r="N11" s="1083">
        <f>(E11/319435)*100</f>
        <v>99.598040289886839</v>
      </c>
      <c r="O11" s="1083"/>
      <c r="P11" s="1081">
        <f>(K11/39.57)*100</f>
        <v>97.043214556482184</v>
      </c>
      <c r="Q11" s="1082"/>
    </row>
    <row r="12" spans="1:17" ht="24.95" customHeight="1" x14ac:dyDescent="0.15">
      <c r="A12" s="1049" t="s">
        <v>212</v>
      </c>
      <c r="B12" s="1050"/>
      <c r="C12" s="991">
        <v>91119</v>
      </c>
      <c r="D12" s="991"/>
      <c r="E12" s="991">
        <v>95504</v>
      </c>
      <c r="F12" s="991"/>
      <c r="G12" s="991">
        <f t="shared" si="0"/>
        <v>4385</v>
      </c>
      <c r="H12" s="991"/>
      <c r="I12" s="90"/>
      <c r="J12" s="508">
        <f t="shared" ref="J12:J20" si="1">G12/C12*100</f>
        <v>4.8123881956562293</v>
      </c>
      <c r="K12" s="386">
        <v>12.69</v>
      </c>
      <c r="L12" s="991">
        <f>E12/K12</f>
        <v>7525.9259259259261</v>
      </c>
      <c r="M12" s="991"/>
      <c r="N12" s="1083">
        <f>(E12/96243)*100</f>
        <v>99.232151948713152</v>
      </c>
      <c r="O12" s="1083"/>
      <c r="P12" s="1081">
        <f>(K12/19.8)*100</f>
        <v>64.090909090909093</v>
      </c>
      <c r="Q12" s="1082"/>
    </row>
    <row r="13" spans="1:17" ht="24.95" customHeight="1" x14ac:dyDescent="0.15">
      <c r="A13" s="1049" t="s">
        <v>378</v>
      </c>
      <c r="B13" s="1050"/>
      <c r="C13" s="991">
        <v>31229</v>
      </c>
      <c r="D13" s="991"/>
      <c r="E13" s="991">
        <v>31425</v>
      </c>
      <c r="F13" s="991"/>
      <c r="G13" s="908">
        <f>E13-C13</f>
        <v>196</v>
      </c>
      <c r="H13" s="908"/>
      <c r="I13" s="90"/>
      <c r="J13" s="521">
        <f t="shared" si="1"/>
        <v>0.62762176182394569</v>
      </c>
      <c r="K13" s="386">
        <v>5.15</v>
      </c>
      <c r="L13" s="991">
        <f t="shared" ref="L13:L19" si="2">E13/K13</f>
        <v>6101.9417475728151</v>
      </c>
      <c r="M13" s="991"/>
      <c r="N13" s="1083">
        <f>(E13/47564)*100</f>
        <v>66.068875620216971</v>
      </c>
      <c r="O13" s="1083"/>
      <c r="P13" s="1081">
        <f>(K13/229.34)*100</f>
        <v>2.2455742565623096</v>
      </c>
      <c r="Q13" s="1082"/>
    </row>
    <row r="14" spans="1:17" ht="24.95" customHeight="1" x14ac:dyDescent="0.15">
      <c r="A14" s="1051" t="s">
        <v>379</v>
      </c>
      <c r="B14" s="1052"/>
      <c r="C14" s="999">
        <v>106447</v>
      </c>
      <c r="D14" s="999"/>
      <c r="E14" s="999">
        <v>111169</v>
      </c>
      <c r="F14" s="999"/>
      <c r="G14" s="999">
        <f t="shared" si="0"/>
        <v>4722</v>
      </c>
      <c r="H14" s="999"/>
      <c r="I14" s="91"/>
      <c r="J14" s="510">
        <f t="shared" si="1"/>
        <v>4.4360104089359025</v>
      </c>
      <c r="K14" s="387">
        <v>12.47</v>
      </c>
      <c r="L14" s="999">
        <f>E14/K14</f>
        <v>8914.915797914995</v>
      </c>
      <c r="M14" s="999"/>
      <c r="N14" s="1085">
        <f>(E14/114232)*100</f>
        <v>97.318614748931992</v>
      </c>
      <c r="O14" s="1085"/>
      <c r="P14" s="1086">
        <f>(K14/19.48)*100</f>
        <v>64.014373716632448</v>
      </c>
      <c r="Q14" s="1087"/>
    </row>
    <row r="15" spans="1:17" ht="24.95" customHeight="1" x14ac:dyDescent="0.15">
      <c r="A15" s="1049" t="s">
        <v>380</v>
      </c>
      <c r="B15" s="1050"/>
      <c r="C15" s="991">
        <v>24500</v>
      </c>
      <c r="D15" s="991"/>
      <c r="E15" s="991">
        <v>25270</v>
      </c>
      <c r="F15" s="991"/>
      <c r="G15" s="991">
        <f t="shared" si="0"/>
        <v>770</v>
      </c>
      <c r="H15" s="991"/>
      <c r="I15" s="90"/>
      <c r="J15" s="508">
        <f t="shared" si="1"/>
        <v>3.1428571428571432</v>
      </c>
      <c r="K15" s="386">
        <v>4.5999999999999996</v>
      </c>
      <c r="L15" s="991">
        <v>5494</v>
      </c>
      <c r="M15" s="991"/>
      <c r="N15" s="1083">
        <f>(E15/61674)*100</f>
        <v>40.973505853357977</v>
      </c>
      <c r="O15" s="1083"/>
      <c r="P15" s="1081">
        <f>(K15/210.9)*100</f>
        <v>2.1811284969179705</v>
      </c>
      <c r="Q15" s="1082"/>
    </row>
    <row r="16" spans="1:17" ht="24.95" customHeight="1" x14ac:dyDescent="0.15">
      <c r="A16" s="1049" t="s">
        <v>381</v>
      </c>
      <c r="B16" s="1050"/>
      <c r="C16" s="991">
        <v>32684</v>
      </c>
      <c r="D16" s="991"/>
      <c r="E16" s="991">
        <v>33830</v>
      </c>
      <c r="F16" s="991"/>
      <c r="G16" s="991">
        <f t="shared" si="0"/>
        <v>1146</v>
      </c>
      <c r="H16" s="991"/>
      <c r="I16" s="90"/>
      <c r="J16" s="508">
        <f t="shared" si="1"/>
        <v>3.5063027781177336</v>
      </c>
      <c r="K16" s="386">
        <v>6.39</v>
      </c>
      <c r="L16" s="991">
        <f t="shared" si="2"/>
        <v>5294.2097026604069</v>
      </c>
      <c r="M16" s="991"/>
      <c r="N16" s="1083">
        <f>(E16/58547)*100</f>
        <v>57.782636172647614</v>
      </c>
      <c r="O16" s="1083"/>
      <c r="P16" s="1081">
        <f>(K16/46.62)*100</f>
        <v>13.706563706563706</v>
      </c>
      <c r="Q16" s="1082"/>
    </row>
    <row r="17" spans="1:17" ht="24.95" customHeight="1" x14ac:dyDescent="0.15">
      <c r="A17" s="1049" t="s">
        <v>382</v>
      </c>
      <c r="B17" s="1050"/>
      <c r="C17" s="991">
        <v>112748</v>
      </c>
      <c r="D17" s="991"/>
      <c r="E17" s="991">
        <v>122197</v>
      </c>
      <c r="F17" s="991"/>
      <c r="G17" s="991">
        <f t="shared" si="0"/>
        <v>9449</v>
      </c>
      <c r="H17" s="991"/>
      <c r="I17" s="92"/>
      <c r="J17" s="508">
        <f t="shared" si="1"/>
        <v>8.3806364636179804</v>
      </c>
      <c r="K17" s="386">
        <v>16.8</v>
      </c>
      <c r="L17" s="991">
        <f t="shared" si="2"/>
        <v>7273.6309523809523</v>
      </c>
      <c r="M17" s="991"/>
      <c r="N17" s="1083">
        <f>(E17/139279)*100</f>
        <v>87.73540878380804</v>
      </c>
      <c r="O17" s="1083"/>
      <c r="P17" s="1081">
        <f>(K17/49.72)*100</f>
        <v>33.789219629927594</v>
      </c>
      <c r="Q17" s="1082"/>
    </row>
    <row r="18" spans="1:17" ht="24.95" customHeight="1" x14ac:dyDescent="0.15">
      <c r="A18" s="1049" t="s">
        <v>224</v>
      </c>
      <c r="B18" s="1050"/>
      <c r="C18" s="991">
        <v>37788</v>
      </c>
      <c r="D18" s="991"/>
      <c r="E18" s="991">
        <v>39139</v>
      </c>
      <c r="F18" s="991"/>
      <c r="G18" s="991">
        <f t="shared" si="0"/>
        <v>1351</v>
      </c>
      <c r="H18" s="991"/>
      <c r="I18" s="90"/>
      <c r="J18" s="508">
        <f t="shared" si="1"/>
        <v>3.5752090610775911</v>
      </c>
      <c r="K18" s="386">
        <v>4.57</v>
      </c>
      <c r="L18" s="991">
        <f t="shared" si="2"/>
        <v>8564.3326039387302</v>
      </c>
      <c r="M18" s="991"/>
      <c r="N18" s="1083">
        <f>(E18/61119)*100</f>
        <v>64.037369721363248</v>
      </c>
      <c r="O18" s="1083"/>
      <c r="P18" s="1081">
        <f>(K18/19.6)*100</f>
        <v>23.316326530612244</v>
      </c>
      <c r="Q18" s="1082"/>
    </row>
    <row r="19" spans="1:17" ht="24.95" customHeight="1" x14ac:dyDescent="0.15">
      <c r="A19" s="1049" t="s">
        <v>208</v>
      </c>
      <c r="B19" s="1050"/>
      <c r="C19" s="991">
        <v>57375</v>
      </c>
      <c r="D19" s="991"/>
      <c r="E19" s="991">
        <v>59166</v>
      </c>
      <c r="F19" s="991"/>
      <c r="G19" s="991">
        <f t="shared" si="0"/>
        <v>1791</v>
      </c>
      <c r="H19" s="991"/>
      <c r="I19" s="90"/>
      <c r="J19" s="508">
        <f t="shared" si="1"/>
        <v>3.1215686274509804</v>
      </c>
      <c r="K19" s="386">
        <v>10.24</v>
      </c>
      <c r="L19" s="991">
        <f t="shared" si="2"/>
        <v>5777.9296875</v>
      </c>
      <c r="M19" s="991"/>
      <c r="N19" s="1083">
        <f>(E19/118898)*100</f>
        <v>49.761980857541758</v>
      </c>
      <c r="O19" s="1083"/>
      <c r="P19" s="1081">
        <f>(K19/87.01)*100</f>
        <v>11.768762211240087</v>
      </c>
      <c r="Q19" s="1082"/>
    </row>
    <row r="20" spans="1:17" ht="24.95" customHeight="1" thickBot="1" x14ac:dyDescent="0.2">
      <c r="A20" s="1043" t="s">
        <v>210</v>
      </c>
      <c r="B20" s="1044"/>
      <c r="C20" s="1045">
        <v>17176</v>
      </c>
      <c r="D20" s="1045"/>
      <c r="E20" s="1045">
        <v>17314</v>
      </c>
      <c r="F20" s="1045"/>
      <c r="G20" s="1045">
        <f t="shared" si="0"/>
        <v>138</v>
      </c>
      <c r="H20" s="1045"/>
      <c r="I20" s="132"/>
      <c r="J20" s="522">
        <f t="shared" si="1"/>
        <v>0.80344666977177448</v>
      </c>
      <c r="K20" s="388">
        <v>3.63</v>
      </c>
      <c r="L20" s="1045">
        <f>E20/K20</f>
        <v>4769.69696969697</v>
      </c>
      <c r="M20" s="1045"/>
      <c r="N20" s="1084">
        <f>(E20/51186)*100</f>
        <v>33.825655452662836</v>
      </c>
      <c r="O20" s="1084"/>
      <c r="P20" s="1079">
        <f>(K20/204.2)*100</f>
        <v>1.7776689520078355</v>
      </c>
      <c r="Q20" s="1080"/>
    </row>
    <row r="21" spans="1:17" ht="15" customHeight="1" x14ac:dyDescent="0.15">
      <c r="A21" s="5" t="s">
        <v>383</v>
      </c>
      <c r="J21" s="1"/>
      <c r="K21" s="1"/>
      <c r="L21" s="1"/>
      <c r="M21" s="1"/>
      <c r="N21" s="1"/>
      <c r="Q21" s="7" t="s">
        <v>645</v>
      </c>
    </row>
    <row r="22" spans="1:17" ht="15" customHeight="1" x14ac:dyDescent="0.15">
      <c r="J22" s="1"/>
      <c r="K22" s="1"/>
      <c r="L22" s="1"/>
      <c r="M22" s="1"/>
      <c r="N22" s="1"/>
      <c r="O22" s="1"/>
      <c r="P22" s="1"/>
    </row>
    <row r="23" spans="1:17" ht="15" customHeight="1" thickBot="1" x14ac:dyDescent="0.2">
      <c r="A23" s="5" t="s">
        <v>15</v>
      </c>
      <c r="J23" s="1"/>
      <c r="K23" s="1"/>
      <c r="L23" s="1"/>
      <c r="M23" s="1"/>
      <c r="N23" s="1"/>
      <c r="O23" s="1"/>
      <c r="P23" s="1"/>
      <c r="Q23" s="7" t="s">
        <v>28</v>
      </c>
    </row>
    <row r="24" spans="1:17" ht="15" customHeight="1" x14ac:dyDescent="0.15">
      <c r="A24" s="138"/>
      <c r="B24" s="139"/>
      <c r="C24" s="984" t="s">
        <v>386</v>
      </c>
      <c r="D24" s="913" t="s">
        <v>384</v>
      </c>
      <c r="E24" s="913"/>
      <c r="F24" s="913"/>
      <c r="G24" s="913"/>
      <c r="H24" s="140"/>
      <c r="I24" s="141"/>
      <c r="J24" s="933" t="s">
        <v>385</v>
      </c>
      <c r="K24" s="933"/>
      <c r="L24" s="933"/>
      <c r="M24" s="933"/>
      <c r="N24" s="933"/>
      <c r="O24" s="933"/>
      <c r="P24" s="933"/>
      <c r="Q24" s="142"/>
    </row>
    <row r="25" spans="1:17" ht="15" customHeight="1" x14ac:dyDescent="0.15">
      <c r="A25" s="143"/>
      <c r="B25" s="94"/>
      <c r="C25" s="976"/>
      <c r="D25" s="915"/>
      <c r="E25" s="915"/>
      <c r="F25" s="915"/>
      <c r="G25" s="915"/>
      <c r="H25" s="503"/>
      <c r="I25" s="500"/>
      <c r="J25" s="893"/>
      <c r="K25" s="893"/>
      <c r="L25" s="893"/>
      <c r="M25" s="893"/>
      <c r="N25" s="893"/>
      <c r="O25" s="893"/>
      <c r="P25" s="893"/>
      <c r="Q25" s="511" t="s">
        <v>305</v>
      </c>
    </row>
    <row r="26" spans="1:17" ht="24.95" customHeight="1" x14ac:dyDescent="0.15">
      <c r="A26" s="145"/>
      <c r="B26" s="95"/>
      <c r="C26" s="1019"/>
      <c r="D26" s="498" t="s">
        <v>349</v>
      </c>
      <c r="E26" s="498" t="s">
        <v>350</v>
      </c>
      <c r="F26" s="498" t="s">
        <v>351</v>
      </c>
      <c r="G26" s="498" t="s">
        <v>352</v>
      </c>
      <c r="H26" s="153" t="s">
        <v>387</v>
      </c>
      <c r="I26" s="341"/>
      <c r="J26" s="502" t="s">
        <v>353</v>
      </c>
      <c r="K26" s="498" t="s">
        <v>299</v>
      </c>
      <c r="L26" s="498" t="s">
        <v>300</v>
      </c>
      <c r="M26" s="498" t="s">
        <v>301</v>
      </c>
      <c r="N26" s="498" t="s">
        <v>302</v>
      </c>
      <c r="O26" s="498" t="s">
        <v>303</v>
      </c>
      <c r="P26" s="498" t="s">
        <v>304</v>
      </c>
      <c r="Q26" s="509"/>
    </row>
    <row r="27" spans="1:17" ht="21" customHeight="1" x14ac:dyDescent="0.15">
      <c r="A27" s="146"/>
      <c r="B27" s="93"/>
      <c r="C27" s="63"/>
      <c r="D27" s="53"/>
      <c r="E27" s="515"/>
      <c r="F27" s="53"/>
      <c r="G27" s="53"/>
      <c r="H27" s="420"/>
      <c r="I27" s="420"/>
      <c r="J27" s="53"/>
      <c r="K27" s="53"/>
      <c r="L27" s="53"/>
      <c r="M27" s="53"/>
      <c r="N27" s="53"/>
      <c r="O27" s="53"/>
      <c r="P27" s="53"/>
      <c r="Q27" s="147"/>
    </row>
    <row r="28" spans="1:17" ht="24.95" customHeight="1" x14ac:dyDescent="0.15">
      <c r="A28" s="975" t="s">
        <v>388</v>
      </c>
      <c r="B28" s="976"/>
      <c r="C28" s="18">
        <f>SUM(D28,H28,Q28)</f>
        <v>971772</v>
      </c>
      <c r="D28" s="505">
        <f>SUM(E28:G28)</f>
        <v>170707</v>
      </c>
      <c r="E28" s="329">
        <v>57182</v>
      </c>
      <c r="F28" s="329">
        <v>56960</v>
      </c>
      <c r="G28" s="329">
        <v>56565</v>
      </c>
      <c r="H28" s="505">
        <f>SUM(J28:P28)</f>
        <v>611231</v>
      </c>
      <c r="I28" s="505"/>
      <c r="J28" s="329">
        <v>55878</v>
      </c>
      <c r="K28" s="329">
        <v>49416</v>
      </c>
      <c r="L28" s="329">
        <v>55155</v>
      </c>
      <c r="M28" s="329">
        <v>62634</v>
      </c>
      <c r="N28" s="329">
        <v>143008</v>
      </c>
      <c r="O28" s="329">
        <v>124511</v>
      </c>
      <c r="P28" s="329">
        <v>120629</v>
      </c>
      <c r="Q28" s="330">
        <v>189834</v>
      </c>
    </row>
    <row r="29" spans="1:17" ht="21" customHeight="1" x14ac:dyDescent="0.15">
      <c r="A29" s="512"/>
      <c r="B29" s="328"/>
      <c r="C29" s="501"/>
      <c r="D29" s="505"/>
      <c r="E29" s="505"/>
      <c r="F29" s="505"/>
      <c r="G29" s="505"/>
      <c r="H29" s="505"/>
      <c r="I29" s="505"/>
      <c r="J29" s="505"/>
      <c r="L29" s="505"/>
      <c r="M29" s="505"/>
      <c r="N29" s="505"/>
      <c r="O29" s="505"/>
      <c r="P29" s="505"/>
      <c r="Q29" s="331"/>
    </row>
    <row r="30" spans="1:17" ht="21" customHeight="1" x14ac:dyDescent="0.15">
      <c r="A30" s="512"/>
      <c r="B30" s="328"/>
      <c r="C30" s="501"/>
      <c r="D30" s="505"/>
      <c r="E30" s="505"/>
      <c r="F30" s="505"/>
      <c r="G30" s="505"/>
      <c r="H30" s="505"/>
      <c r="I30" s="505"/>
      <c r="J30" s="505"/>
      <c r="L30" s="505"/>
      <c r="M30" s="505"/>
      <c r="N30" s="505"/>
      <c r="O30" s="505"/>
      <c r="P30" s="505"/>
      <c r="Q30" s="148"/>
    </row>
    <row r="31" spans="1:17" ht="24.95" customHeight="1" x14ac:dyDescent="0.15">
      <c r="A31" s="981" t="s">
        <v>389</v>
      </c>
      <c r="B31" s="1046"/>
      <c r="C31" s="501">
        <f>SUM(D31,H31,Q31)</f>
        <v>853165</v>
      </c>
      <c r="D31" s="505">
        <f>SUM(E31:G31)</f>
        <v>148037</v>
      </c>
      <c r="E31" s="329">
        <v>49325</v>
      </c>
      <c r="F31" s="329">
        <v>49385</v>
      </c>
      <c r="G31" s="329">
        <v>49327</v>
      </c>
      <c r="H31" s="505">
        <f>SUM(J31:P31)</f>
        <v>537842</v>
      </c>
      <c r="I31" s="505"/>
      <c r="J31" s="329">
        <v>49069</v>
      </c>
      <c r="K31" s="505">
        <v>43576</v>
      </c>
      <c r="L31" s="329">
        <v>48397</v>
      </c>
      <c r="M31" s="329">
        <v>54803</v>
      </c>
      <c r="N31" s="329">
        <v>125719</v>
      </c>
      <c r="O31" s="329">
        <v>110442</v>
      </c>
      <c r="P31" s="329">
        <v>105836</v>
      </c>
      <c r="Q31" s="330">
        <v>167286</v>
      </c>
    </row>
    <row r="32" spans="1:17" ht="21" customHeight="1" x14ac:dyDescent="0.15">
      <c r="A32" s="512"/>
      <c r="B32" s="327"/>
      <c r="C32" s="18"/>
      <c r="D32" s="505"/>
      <c r="E32" s="505"/>
      <c r="F32" s="505"/>
      <c r="G32" s="505"/>
      <c r="H32" s="505"/>
      <c r="I32" s="505"/>
      <c r="J32" s="97"/>
      <c r="K32" s="97"/>
      <c r="L32" s="97"/>
      <c r="M32" s="97"/>
      <c r="N32" s="97"/>
      <c r="O32" s="97"/>
      <c r="P32" s="97"/>
      <c r="Q32" s="333"/>
    </row>
    <row r="33" spans="1:17" ht="21" customHeight="1" x14ac:dyDescent="0.15">
      <c r="A33" s="512"/>
      <c r="B33" s="327"/>
      <c r="C33" s="18"/>
      <c r="D33" s="505"/>
      <c r="E33" s="505"/>
      <c r="F33" s="505"/>
      <c r="G33" s="505"/>
      <c r="H33" s="505"/>
      <c r="I33" s="505"/>
      <c r="J33" s="505"/>
      <c r="K33" s="505"/>
      <c r="L33" s="505"/>
      <c r="M33" s="505"/>
      <c r="N33" s="505"/>
      <c r="O33" s="505"/>
      <c r="P33" s="505"/>
      <c r="Q33" s="148"/>
    </row>
    <row r="34" spans="1:17" ht="24.95" customHeight="1" x14ac:dyDescent="0.15">
      <c r="A34" s="975" t="s">
        <v>390</v>
      </c>
      <c r="B34" s="976"/>
      <c r="C34" s="18">
        <f>SUM(D34,H34,Q34)</f>
        <v>118607</v>
      </c>
      <c r="D34" s="505">
        <f>SUM(E34:G34)</f>
        <v>22670</v>
      </c>
      <c r="E34" s="329">
        <v>7857</v>
      </c>
      <c r="F34" s="329">
        <v>7575</v>
      </c>
      <c r="G34" s="329">
        <v>7238</v>
      </c>
      <c r="H34" s="505">
        <f>SUM(J34:P34)</f>
        <v>73389</v>
      </c>
      <c r="I34" s="505"/>
      <c r="J34" s="329">
        <v>6809</v>
      </c>
      <c r="K34" s="505">
        <v>5840</v>
      </c>
      <c r="L34" s="329">
        <v>6758</v>
      </c>
      <c r="M34" s="329">
        <v>7831</v>
      </c>
      <c r="N34" s="329">
        <v>17289</v>
      </c>
      <c r="O34" s="329">
        <v>14069</v>
      </c>
      <c r="P34" s="329">
        <v>14793</v>
      </c>
      <c r="Q34" s="330">
        <v>22548</v>
      </c>
    </row>
    <row r="35" spans="1:17" ht="21" customHeight="1" thickBot="1" x14ac:dyDescent="0.2">
      <c r="A35" s="149"/>
      <c r="B35" s="150"/>
      <c r="C35" s="506"/>
      <c r="D35" s="507"/>
      <c r="E35" s="507"/>
      <c r="F35" s="507"/>
      <c r="G35" s="507"/>
      <c r="H35" s="507"/>
      <c r="I35" s="507"/>
      <c r="J35" s="152"/>
      <c r="K35" s="152"/>
      <c r="L35" s="152"/>
      <c r="M35" s="152"/>
      <c r="N35" s="152"/>
      <c r="O35" s="152"/>
      <c r="P35" s="152"/>
      <c r="Q35" s="332"/>
    </row>
    <row r="36" spans="1:17" ht="15" customHeight="1" x14ac:dyDescent="0.15">
      <c r="P36" s="5"/>
      <c r="Q36" s="7" t="s">
        <v>646</v>
      </c>
    </row>
    <row r="37" spans="1:17" ht="15" customHeight="1" x14ac:dyDescent="0.15">
      <c r="A37" s="5" t="s">
        <v>391</v>
      </c>
    </row>
    <row r="38" spans="1:17" ht="15" customHeight="1" x14ac:dyDescent="0.15">
      <c r="A38" s="5" t="s">
        <v>546</v>
      </c>
      <c r="J38" s="5" t="s">
        <v>392</v>
      </c>
    </row>
    <row r="39" spans="1:17" ht="15" customHeight="1" x14ac:dyDescent="0.15">
      <c r="A39" s="5" t="s">
        <v>547</v>
      </c>
      <c r="J39" s="5" t="s">
        <v>393</v>
      </c>
    </row>
    <row r="40" spans="1:17" ht="15" customHeight="1" x14ac:dyDescent="0.15">
      <c r="A40" s="5" t="s">
        <v>548</v>
      </c>
      <c r="J40" s="1"/>
      <c r="K40" s="1"/>
      <c r="L40" s="1"/>
      <c r="M40" s="1"/>
      <c r="N40" s="1"/>
      <c r="O40" s="1"/>
      <c r="P40" s="1"/>
    </row>
  </sheetData>
  <sheetProtection sheet="1" objects="1" scenarios="1"/>
  <mergeCells count="102">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C24:C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L65529"/>
  <sheetViews>
    <sheetView view="pageBreakPreview" zoomScale="85" zoomScaleNormal="120" zoomScaleSheetLayoutView="85" workbookViewId="0">
      <selection activeCell="K250" sqref="K250"/>
    </sheetView>
  </sheetViews>
  <sheetFormatPr defaultRowHeight="5.0999999999999996" customHeight="1" x14ac:dyDescent="0.15"/>
  <cols>
    <col min="1" max="1" width="15" style="338" customWidth="1"/>
    <col min="2" max="2" width="8.125" style="338" customWidth="1"/>
    <col min="3" max="3" width="9" style="338" bestFit="1" customWidth="1"/>
    <col min="4" max="4" width="8.125" style="338" customWidth="1"/>
    <col min="5" max="5" width="8.75" style="338" bestFit="1" customWidth="1"/>
    <col min="6" max="6" width="8.125" style="338" customWidth="1"/>
    <col min="7" max="7" width="8.75" style="338" bestFit="1" customWidth="1"/>
    <col min="8" max="8" width="7.375" style="338" customWidth="1"/>
    <col min="9" max="11" width="7.25" style="338" customWidth="1"/>
    <col min="12" max="16384" width="9" style="338"/>
  </cols>
  <sheetData>
    <row r="2" spans="1:12" ht="15" customHeight="1" thickBot="1" x14ac:dyDescent="0.2">
      <c r="A2" s="5" t="s">
        <v>394</v>
      </c>
      <c r="J2" s="5"/>
      <c r="K2" s="7" t="s">
        <v>531</v>
      </c>
      <c r="L2" s="5"/>
    </row>
    <row r="3" spans="1:12" ht="24.95" customHeight="1" x14ac:dyDescent="0.15">
      <c r="A3" s="1061" t="s">
        <v>478</v>
      </c>
      <c r="B3" s="986"/>
      <c r="C3" s="913" t="s">
        <v>395</v>
      </c>
      <c r="D3" s="913"/>
      <c r="E3" s="913"/>
      <c r="F3" s="913"/>
      <c r="G3" s="913"/>
      <c r="H3" s="913"/>
      <c r="I3" s="257" t="s">
        <v>396</v>
      </c>
      <c r="J3" s="257" t="s">
        <v>397</v>
      </c>
      <c r="K3" s="1092" t="s">
        <v>398</v>
      </c>
    </row>
    <row r="4" spans="1:12" ht="24.95" customHeight="1" x14ac:dyDescent="0.15">
      <c r="A4" s="981"/>
      <c r="B4" s="1000"/>
      <c r="C4" s="915"/>
      <c r="D4" s="915"/>
      <c r="E4" s="915"/>
      <c r="F4" s="915"/>
      <c r="G4" s="915"/>
      <c r="H4" s="915"/>
      <c r="I4" s="70" t="s">
        <v>399</v>
      </c>
      <c r="J4" s="70" t="s">
        <v>400</v>
      </c>
      <c r="K4" s="1093"/>
    </row>
    <row r="5" spans="1:12" ht="24.95" customHeight="1" x14ac:dyDescent="0.15">
      <c r="A5" s="1062"/>
      <c r="B5" s="988"/>
      <c r="C5" s="390" t="s">
        <v>33</v>
      </c>
      <c r="D5" s="390" t="s">
        <v>401</v>
      </c>
      <c r="E5" s="390" t="s">
        <v>402</v>
      </c>
      <c r="F5" s="390" t="s">
        <v>403</v>
      </c>
      <c r="G5" s="390" t="s">
        <v>404</v>
      </c>
      <c r="H5" s="390" t="s">
        <v>405</v>
      </c>
      <c r="I5" s="71" t="s">
        <v>406</v>
      </c>
      <c r="J5" s="71" t="s">
        <v>407</v>
      </c>
      <c r="K5" s="258" t="s">
        <v>407</v>
      </c>
    </row>
    <row r="6" spans="1:12" ht="21" customHeight="1" x14ac:dyDescent="0.15">
      <c r="A6" s="1038" t="s">
        <v>568</v>
      </c>
      <c r="B6" s="64" t="s">
        <v>576</v>
      </c>
      <c r="C6" s="189">
        <f>SUM(D6:H6)</f>
        <v>515195</v>
      </c>
      <c r="D6" s="505">
        <v>255305</v>
      </c>
      <c r="E6" s="505">
        <v>30445</v>
      </c>
      <c r="F6" s="505">
        <v>206929</v>
      </c>
      <c r="G6" s="505">
        <v>11335</v>
      </c>
      <c r="H6" s="505">
        <v>11181</v>
      </c>
      <c r="I6" s="505">
        <v>3989</v>
      </c>
      <c r="J6" s="514" t="s">
        <v>149</v>
      </c>
      <c r="K6" s="513" t="s">
        <v>149</v>
      </c>
    </row>
    <row r="7" spans="1:12" ht="21" customHeight="1" x14ac:dyDescent="0.15">
      <c r="A7" s="981"/>
      <c r="B7" s="172" t="s">
        <v>647</v>
      </c>
      <c r="C7" s="392">
        <f>SUM(D7:H7)</f>
        <v>553464</v>
      </c>
      <c r="D7" s="396">
        <v>269257</v>
      </c>
      <c r="E7" s="396">
        <v>29704</v>
      </c>
      <c r="F7" s="396">
        <v>234084</v>
      </c>
      <c r="G7" s="396">
        <v>11040</v>
      </c>
      <c r="H7" s="396">
        <v>9379</v>
      </c>
      <c r="I7" s="396">
        <v>5741</v>
      </c>
      <c r="J7" s="400" t="s">
        <v>149</v>
      </c>
      <c r="K7" s="398" t="s">
        <v>149</v>
      </c>
    </row>
    <row r="8" spans="1:12" ht="20.100000000000001" customHeight="1" x14ac:dyDescent="0.15">
      <c r="A8" s="1094"/>
      <c r="B8" s="1095"/>
      <c r="C8" s="392"/>
      <c r="D8" s="396"/>
      <c r="E8" s="396"/>
      <c r="F8" s="396"/>
      <c r="G8" s="396" t="s">
        <v>30</v>
      </c>
      <c r="H8" s="396" t="s">
        <v>30</v>
      </c>
      <c r="I8" s="396" t="s">
        <v>30</v>
      </c>
      <c r="J8" s="289" t="s">
        <v>30</v>
      </c>
      <c r="K8" s="290" t="s">
        <v>30</v>
      </c>
    </row>
    <row r="9" spans="1:12" ht="21" customHeight="1" x14ac:dyDescent="0.15">
      <c r="A9" s="945" t="s">
        <v>377</v>
      </c>
      <c r="B9" s="1090"/>
      <c r="C9" s="392">
        <f>SUM(D9:H9)</f>
        <v>134410</v>
      </c>
      <c r="D9" s="396">
        <v>52475</v>
      </c>
      <c r="E9" s="396">
        <v>7805</v>
      </c>
      <c r="F9" s="396">
        <v>68261</v>
      </c>
      <c r="G9" s="396">
        <v>3351</v>
      </c>
      <c r="H9" s="396">
        <v>2518</v>
      </c>
      <c r="I9" s="396">
        <v>853</v>
      </c>
      <c r="J9" s="400" t="s">
        <v>149</v>
      </c>
      <c r="K9" s="398" t="s">
        <v>149</v>
      </c>
    </row>
    <row r="10" spans="1:12" ht="21" customHeight="1" x14ac:dyDescent="0.15">
      <c r="A10" s="945" t="s">
        <v>212</v>
      </c>
      <c r="B10" s="1090"/>
      <c r="C10" s="392">
        <f t="shared" ref="C10:C18" si="0">SUM(D10:H10)</f>
        <v>39056</v>
      </c>
      <c r="D10" s="396">
        <v>15641</v>
      </c>
      <c r="E10" s="396">
        <v>966</v>
      </c>
      <c r="F10" s="396">
        <v>21460</v>
      </c>
      <c r="G10" s="396">
        <v>444</v>
      </c>
      <c r="H10" s="396">
        <v>545</v>
      </c>
      <c r="I10" s="396">
        <v>235</v>
      </c>
      <c r="J10" s="400" t="s">
        <v>149</v>
      </c>
      <c r="K10" s="398" t="s">
        <v>149</v>
      </c>
    </row>
    <row r="11" spans="1:12" ht="21" customHeight="1" x14ac:dyDescent="0.15">
      <c r="A11" s="945" t="s">
        <v>378</v>
      </c>
      <c r="B11" s="1090"/>
      <c r="C11" s="392">
        <f t="shared" si="0"/>
        <v>20057</v>
      </c>
      <c r="D11" s="396">
        <v>8975</v>
      </c>
      <c r="E11" s="396">
        <v>1178</v>
      </c>
      <c r="F11" s="396">
        <v>8421</v>
      </c>
      <c r="G11" s="396">
        <v>1110</v>
      </c>
      <c r="H11" s="396">
        <v>373</v>
      </c>
      <c r="I11" s="396">
        <v>426</v>
      </c>
      <c r="J11" s="400" t="s">
        <v>149</v>
      </c>
      <c r="K11" s="398" t="s">
        <v>149</v>
      </c>
    </row>
    <row r="12" spans="1:12" ht="21" customHeight="1" x14ac:dyDescent="0.15">
      <c r="A12" s="946" t="s">
        <v>379</v>
      </c>
      <c r="B12" s="1091"/>
      <c r="C12" s="393">
        <f t="shared" si="0"/>
        <v>43763</v>
      </c>
      <c r="D12" s="395">
        <v>18531</v>
      </c>
      <c r="E12" s="395">
        <v>1352</v>
      </c>
      <c r="F12" s="395">
        <v>22415</v>
      </c>
      <c r="G12" s="395">
        <v>714</v>
      </c>
      <c r="H12" s="395">
        <v>751</v>
      </c>
      <c r="I12" s="395">
        <v>198</v>
      </c>
      <c r="J12" s="400" t="s">
        <v>149</v>
      </c>
      <c r="K12" s="398" t="s">
        <v>149</v>
      </c>
    </row>
    <row r="13" spans="1:12" ht="21" customHeight="1" x14ac:dyDescent="0.15">
      <c r="A13" s="945" t="s">
        <v>380</v>
      </c>
      <c r="B13" s="1090"/>
      <c r="C13" s="392">
        <f t="shared" si="0"/>
        <v>25700</v>
      </c>
      <c r="D13" s="396">
        <v>11132</v>
      </c>
      <c r="E13" s="396">
        <v>1741</v>
      </c>
      <c r="F13" s="396">
        <v>11873</v>
      </c>
      <c r="G13" s="396">
        <v>520</v>
      </c>
      <c r="H13" s="396">
        <v>434</v>
      </c>
      <c r="I13" s="396">
        <v>376</v>
      </c>
      <c r="J13" s="400" t="s">
        <v>149</v>
      </c>
      <c r="K13" s="398" t="s">
        <v>149</v>
      </c>
    </row>
    <row r="14" spans="1:12" ht="21" customHeight="1" x14ac:dyDescent="0.15">
      <c r="A14" s="945" t="s">
        <v>381</v>
      </c>
      <c r="B14" s="1090"/>
      <c r="C14" s="392">
        <f t="shared" si="0"/>
        <v>20468</v>
      </c>
      <c r="D14" s="396">
        <v>10510</v>
      </c>
      <c r="E14" s="396">
        <v>1551</v>
      </c>
      <c r="F14" s="396">
        <v>7453</v>
      </c>
      <c r="G14" s="396">
        <v>740</v>
      </c>
      <c r="H14" s="396">
        <v>214</v>
      </c>
      <c r="I14" s="396">
        <v>113</v>
      </c>
      <c r="J14" s="400" t="s">
        <v>149</v>
      </c>
      <c r="K14" s="398" t="s">
        <v>149</v>
      </c>
    </row>
    <row r="15" spans="1:12" ht="21" customHeight="1" x14ac:dyDescent="0.15">
      <c r="A15" s="945" t="s">
        <v>382</v>
      </c>
      <c r="B15" s="1090"/>
      <c r="C15" s="18">
        <f t="shared" si="0"/>
        <v>52841</v>
      </c>
      <c r="D15" s="389">
        <v>25485</v>
      </c>
      <c r="E15" s="396">
        <v>2803</v>
      </c>
      <c r="F15" s="396">
        <v>23183</v>
      </c>
      <c r="G15" s="396">
        <v>435</v>
      </c>
      <c r="H15" s="396">
        <v>935</v>
      </c>
      <c r="I15" s="396">
        <v>347</v>
      </c>
      <c r="J15" s="400" t="s">
        <v>149</v>
      </c>
      <c r="K15" s="398" t="s">
        <v>149</v>
      </c>
    </row>
    <row r="16" spans="1:12" ht="21" customHeight="1" x14ac:dyDescent="0.15">
      <c r="A16" s="945" t="s">
        <v>224</v>
      </c>
      <c r="B16" s="1090"/>
      <c r="C16" s="392">
        <f t="shared" si="0"/>
        <v>21672</v>
      </c>
      <c r="D16" s="396">
        <v>10586</v>
      </c>
      <c r="E16" s="396">
        <v>1787</v>
      </c>
      <c r="F16" s="396">
        <v>8492</v>
      </c>
      <c r="G16" s="396">
        <v>578</v>
      </c>
      <c r="H16" s="396">
        <v>229</v>
      </c>
      <c r="I16" s="396">
        <v>81</v>
      </c>
      <c r="J16" s="400" t="s">
        <v>149</v>
      </c>
      <c r="K16" s="398" t="s">
        <v>149</v>
      </c>
    </row>
    <row r="17" spans="1:12" ht="21" customHeight="1" x14ac:dyDescent="0.15">
      <c r="A17" s="945" t="s">
        <v>208</v>
      </c>
      <c r="B17" s="1090"/>
      <c r="C17" s="392">
        <f>SUM(D17:H17)</f>
        <v>41854</v>
      </c>
      <c r="D17" s="396">
        <v>24464</v>
      </c>
      <c r="E17" s="396">
        <v>1919</v>
      </c>
      <c r="F17" s="396">
        <v>14429</v>
      </c>
      <c r="G17" s="396">
        <v>393</v>
      </c>
      <c r="H17" s="396">
        <v>649</v>
      </c>
      <c r="I17" s="396">
        <v>415</v>
      </c>
      <c r="J17" s="400" t="s">
        <v>149</v>
      </c>
      <c r="K17" s="398" t="s">
        <v>149</v>
      </c>
    </row>
    <row r="18" spans="1:12" ht="21" customHeight="1" thickBot="1" x14ac:dyDescent="0.2">
      <c r="A18" s="1043" t="s">
        <v>210</v>
      </c>
      <c r="B18" s="1044"/>
      <c r="C18" s="394">
        <f t="shared" si="0"/>
        <v>21608</v>
      </c>
      <c r="D18" s="397">
        <v>11956</v>
      </c>
      <c r="E18" s="397">
        <v>2265</v>
      </c>
      <c r="F18" s="397">
        <v>6586</v>
      </c>
      <c r="G18" s="397">
        <v>619</v>
      </c>
      <c r="H18" s="397">
        <v>182</v>
      </c>
      <c r="I18" s="397">
        <v>300</v>
      </c>
      <c r="J18" s="401" t="s">
        <v>149</v>
      </c>
      <c r="K18" s="399" t="s">
        <v>149</v>
      </c>
    </row>
    <row r="19" spans="1:12" ht="15" customHeight="1" x14ac:dyDescent="0.15">
      <c r="A19" s="1089" t="s">
        <v>648</v>
      </c>
      <c r="B19" s="1089"/>
      <c r="C19" s="1089"/>
      <c r="D19" s="1089"/>
      <c r="E19" s="1089"/>
      <c r="F19" s="1089"/>
      <c r="G19" s="1089"/>
      <c r="H19" s="1089"/>
      <c r="K19" s="7" t="s">
        <v>645</v>
      </c>
    </row>
    <row r="20" spans="1:12" ht="19.5" customHeight="1" x14ac:dyDescent="0.15">
      <c r="A20" s="5"/>
    </row>
    <row r="21" spans="1:12" ht="15" customHeight="1" thickBot="1" x14ac:dyDescent="0.2">
      <c r="A21" s="5" t="s">
        <v>408</v>
      </c>
      <c r="K21" s="7" t="s">
        <v>531</v>
      </c>
    </row>
    <row r="22" spans="1:12" ht="24.95" customHeight="1" x14ac:dyDescent="0.15">
      <c r="A22" s="1096" t="s">
        <v>409</v>
      </c>
      <c r="B22" s="913" t="s">
        <v>410</v>
      </c>
      <c r="C22" s="913"/>
      <c r="D22" s="913" t="s">
        <v>411</v>
      </c>
      <c r="E22" s="913"/>
      <c r="F22" s="913" t="s">
        <v>412</v>
      </c>
      <c r="G22" s="913"/>
      <c r="H22" s="913"/>
      <c r="I22" s="913"/>
      <c r="J22" s="984" t="s">
        <v>398</v>
      </c>
      <c r="K22" s="1072"/>
    </row>
    <row r="23" spans="1:12" ht="24.95" customHeight="1" x14ac:dyDescent="0.15">
      <c r="A23" s="1097"/>
      <c r="B23" s="1019" t="s">
        <v>649</v>
      </c>
      <c r="C23" s="1019" t="s">
        <v>650</v>
      </c>
      <c r="D23" s="1019" t="s">
        <v>651</v>
      </c>
      <c r="E23" s="1019" t="s">
        <v>652</v>
      </c>
      <c r="F23" s="915" t="s">
        <v>413</v>
      </c>
      <c r="G23" s="915"/>
      <c r="H23" s="1019" t="s">
        <v>414</v>
      </c>
      <c r="I23" s="1019"/>
      <c r="J23" s="1019" t="s">
        <v>414</v>
      </c>
      <c r="K23" s="1020"/>
    </row>
    <row r="24" spans="1:12" ht="24.95" customHeight="1" x14ac:dyDescent="0.15">
      <c r="A24" s="1097"/>
      <c r="B24" s="1019"/>
      <c r="C24" s="1019"/>
      <c r="D24" s="1019"/>
      <c r="E24" s="1019"/>
      <c r="F24" s="391" t="s">
        <v>653</v>
      </c>
      <c r="G24" s="428" t="s">
        <v>654</v>
      </c>
      <c r="H24" s="390" t="s">
        <v>655</v>
      </c>
      <c r="I24" s="429" t="s">
        <v>654</v>
      </c>
      <c r="J24" s="391" t="s">
        <v>653</v>
      </c>
      <c r="K24" s="155" t="s">
        <v>654</v>
      </c>
      <c r="L24" s="403"/>
    </row>
    <row r="25" spans="1:12" ht="30" customHeight="1" x14ac:dyDescent="0.15">
      <c r="A25" s="545" t="s">
        <v>406</v>
      </c>
      <c r="B25" s="98">
        <v>40858</v>
      </c>
      <c r="C25" s="98">
        <v>43961</v>
      </c>
      <c r="D25" s="98">
        <v>108667</v>
      </c>
      <c r="E25" s="98">
        <v>111931</v>
      </c>
      <c r="F25" s="99">
        <v>2.74</v>
      </c>
      <c r="G25" s="99">
        <f t="shared" ref="G25:G32" si="1">E25/C25</f>
        <v>2.5461431723573167</v>
      </c>
      <c r="H25" s="291" t="s">
        <v>149</v>
      </c>
      <c r="I25" s="291" t="s">
        <v>149</v>
      </c>
      <c r="J25" s="291" t="s">
        <v>149</v>
      </c>
      <c r="K25" s="292" t="s">
        <v>149</v>
      </c>
      <c r="L25" s="403"/>
    </row>
    <row r="26" spans="1:12" ht="30" customHeight="1" x14ac:dyDescent="0.15">
      <c r="A26" s="546" t="s">
        <v>569</v>
      </c>
      <c r="B26" s="12">
        <v>40694</v>
      </c>
      <c r="C26" s="12">
        <v>43763</v>
      </c>
      <c r="D26" s="12">
        <v>108370</v>
      </c>
      <c r="E26" s="12">
        <v>111446</v>
      </c>
      <c r="F26" s="402">
        <v>2.74</v>
      </c>
      <c r="G26" s="402">
        <f t="shared" si="1"/>
        <v>2.5465804446678701</v>
      </c>
      <c r="H26" s="516" t="s">
        <v>149</v>
      </c>
      <c r="I26" s="400" t="s">
        <v>149</v>
      </c>
      <c r="J26" s="516" t="s">
        <v>149</v>
      </c>
      <c r="K26" s="398" t="s">
        <v>149</v>
      </c>
      <c r="L26" s="403"/>
    </row>
    <row r="27" spans="1:12" ht="30" customHeight="1" x14ac:dyDescent="0.15">
      <c r="A27" s="547" t="s">
        <v>415</v>
      </c>
      <c r="B27" s="12">
        <v>16933</v>
      </c>
      <c r="C27" s="12">
        <v>18531</v>
      </c>
      <c r="D27" s="12">
        <v>49996</v>
      </c>
      <c r="E27" s="12">
        <v>51931</v>
      </c>
      <c r="F27" s="402">
        <v>3</v>
      </c>
      <c r="G27" s="402">
        <f t="shared" si="1"/>
        <v>2.8023851923803358</v>
      </c>
      <c r="H27" s="516" t="s">
        <v>149</v>
      </c>
      <c r="I27" s="400" t="s">
        <v>149</v>
      </c>
      <c r="J27" s="516" t="s">
        <v>149</v>
      </c>
      <c r="K27" s="398" t="s">
        <v>149</v>
      </c>
      <c r="L27" s="403"/>
    </row>
    <row r="28" spans="1:12" ht="30" customHeight="1" x14ac:dyDescent="0.15">
      <c r="A28" s="547" t="s">
        <v>416</v>
      </c>
      <c r="B28" s="12">
        <v>1452</v>
      </c>
      <c r="C28" s="12">
        <v>1352</v>
      </c>
      <c r="D28" s="12">
        <v>4309</v>
      </c>
      <c r="E28" s="12">
        <v>3573</v>
      </c>
      <c r="F28" s="402">
        <v>3</v>
      </c>
      <c r="G28" s="402">
        <f t="shared" si="1"/>
        <v>2.6427514792899407</v>
      </c>
      <c r="H28" s="516" t="s">
        <v>149</v>
      </c>
      <c r="I28" s="400" t="s">
        <v>149</v>
      </c>
      <c r="J28" s="516" t="s">
        <v>149</v>
      </c>
      <c r="K28" s="398" t="s">
        <v>149</v>
      </c>
      <c r="L28" s="403"/>
    </row>
    <row r="29" spans="1:12" ht="30" customHeight="1" x14ac:dyDescent="0.15">
      <c r="A29" s="547" t="s">
        <v>417</v>
      </c>
      <c r="B29" s="12">
        <v>20484</v>
      </c>
      <c r="C29" s="12">
        <v>22415</v>
      </c>
      <c r="D29" s="12">
        <v>49374</v>
      </c>
      <c r="E29" s="12">
        <v>52494</v>
      </c>
      <c r="F29" s="402">
        <v>2.4</v>
      </c>
      <c r="G29" s="402">
        <f t="shared" si="1"/>
        <v>2.3419138969440105</v>
      </c>
      <c r="H29" s="516" t="s">
        <v>149</v>
      </c>
      <c r="I29" s="400" t="s">
        <v>149</v>
      </c>
      <c r="J29" s="516" t="s">
        <v>149</v>
      </c>
      <c r="K29" s="398" t="s">
        <v>149</v>
      </c>
      <c r="L29" s="403"/>
    </row>
    <row r="30" spans="1:12" ht="30" customHeight="1" x14ac:dyDescent="0.15">
      <c r="A30" s="547" t="s">
        <v>418</v>
      </c>
      <c r="B30" s="12">
        <v>1004</v>
      </c>
      <c r="C30" s="12">
        <v>714</v>
      </c>
      <c r="D30" s="12">
        <v>2497</v>
      </c>
      <c r="E30" s="12">
        <v>1605</v>
      </c>
      <c r="F30" s="402">
        <v>2.5</v>
      </c>
      <c r="G30" s="402">
        <f t="shared" si="1"/>
        <v>2.2478991596638656</v>
      </c>
      <c r="H30" s="516" t="s">
        <v>149</v>
      </c>
      <c r="I30" s="400" t="s">
        <v>149</v>
      </c>
      <c r="J30" s="516" t="s">
        <v>149</v>
      </c>
      <c r="K30" s="398" t="s">
        <v>149</v>
      </c>
      <c r="L30" s="403"/>
    </row>
    <row r="31" spans="1:12" ht="30" customHeight="1" x14ac:dyDescent="0.15">
      <c r="A31" s="547" t="s">
        <v>419</v>
      </c>
      <c r="B31" s="12">
        <v>821</v>
      </c>
      <c r="C31" s="12">
        <v>751</v>
      </c>
      <c r="D31" s="12">
        <v>2194</v>
      </c>
      <c r="E31" s="12">
        <v>1843</v>
      </c>
      <c r="F31" s="402">
        <v>2.7</v>
      </c>
      <c r="G31" s="402">
        <f t="shared" si="1"/>
        <v>2.4540612516644473</v>
      </c>
      <c r="H31" s="516" t="s">
        <v>149</v>
      </c>
      <c r="I31" s="400" t="s">
        <v>149</v>
      </c>
      <c r="J31" s="516" t="s">
        <v>149</v>
      </c>
      <c r="K31" s="398" t="s">
        <v>149</v>
      </c>
      <c r="L31" s="403"/>
    </row>
    <row r="32" spans="1:12" ht="15" customHeight="1" x14ac:dyDescent="0.15">
      <c r="A32" s="548" t="s">
        <v>481</v>
      </c>
      <c r="B32" s="1014">
        <v>164</v>
      </c>
      <c r="C32" s="1014">
        <v>198</v>
      </c>
      <c r="D32" s="1014">
        <v>297</v>
      </c>
      <c r="E32" s="1014">
        <v>485</v>
      </c>
      <c r="F32" s="1103">
        <v>1.8</v>
      </c>
      <c r="G32" s="1103">
        <f t="shared" si="1"/>
        <v>2.4494949494949494</v>
      </c>
      <c r="H32" s="1101" t="s">
        <v>149</v>
      </c>
      <c r="I32" s="1101" t="s">
        <v>149</v>
      </c>
      <c r="J32" s="1101" t="s">
        <v>149</v>
      </c>
      <c r="K32" s="1099" t="s">
        <v>149</v>
      </c>
      <c r="L32" s="403"/>
    </row>
    <row r="33" spans="1:12" ht="15" customHeight="1" thickBot="1" x14ac:dyDescent="0.2">
      <c r="A33" s="549" t="s">
        <v>549</v>
      </c>
      <c r="B33" s="1105"/>
      <c r="C33" s="1105"/>
      <c r="D33" s="1105"/>
      <c r="E33" s="1105"/>
      <c r="F33" s="1104"/>
      <c r="G33" s="1104"/>
      <c r="H33" s="1102"/>
      <c r="I33" s="1102"/>
      <c r="J33" s="1102"/>
      <c r="K33" s="1100"/>
      <c r="L33" s="403"/>
    </row>
    <row r="34" spans="1:12" ht="15" customHeight="1" x14ac:dyDescent="0.15">
      <c r="A34" s="5" t="s">
        <v>571</v>
      </c>
      <c r="K34" s="7" t="s">
        <v>645</v>
      </c>
    </row>
    <row r="35" spans="1:12" ht="15" customHeight="1" x14ac:dyDescent="0.15">
      <c r="A35" s="5" t="s">
        <v>570</v>
      </c>
    </row>
    <row r="36" spans="1:12" s="260" customFormat="1" ht="15" customHeight="1" x14ac:dyDescent="0.15">
      <c r="A36" s="1098" t="s">
        <v>532</v>
      </c>
      <c r="B36" s="1098"/>
      <c r="C36" s="1098"/>
      <c r="D36" s="1098"/>
      <c r="E36" s="1098"/>
      <c r="F36" s="1098"/>
      <c r="G36" s="1098"/>
      <c r="H36" s="1098"/>
      <c r="I36" s="1098"/>
      <c r="J36" s="1098"/>
      <c r="K36" s="1098"/>
    </row>
    <row r="37" spans="1:12" s="260" customFormat="1" ht="13.5" customHeight="1" x14ac:dyDescent="0.15">
      <c r="A37" s="260" t="s">
        <v>656</v>
      </c>
    </row>
    <row r="65529" ht="18.95" customHeight="1" x14ac:dyDescent="0.15"/>
  </sheetData>
  <sheetProtection sheet="1" objects="1" scenarios="1"/>
  <mergeCells count="39">
    <mergeCell ref="A36:K36"/>
    <mergeCell ref="K32:K33"/>
    <mergeCell ref="J32:J33"/>
    <mergeCell ref="I32:I33"/>
    <mergeCell ref="H32:H33"/>
    <mergeCell ref="G32:G33"/>
    <mergeCell ref="F32:F33"/>
    <mergeCell ref="D32:D33"/>
    <mergeCell ref="E32:E33"/>
    <mergeCell ref="C32:C33"/>
    <mergeCell ref="B32:B33"/>
    <mergeCell ref="J23:K23"/>
    <mergeCell ref="B23:B24"/>
    <mergeCell ref="C23:C24"/>
    <mergeCell ref="F23:G23"/>
    <mergeCell ref="H23:I23"/>
    <mergeCell ref="E23:E24"/>
    <mergeCell ref="D23:D24"/>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A6:A7"/>
    <mergeCell ref="A19:H19"/>
    <mergeCell ref="A18:B18"/>
    <mergeCell ref="A16:B16"/>
    <mergeCell ref="A12:B12"/>
  </mergeCells>
  <phoneticPr fontId="18"/>
  <printOptions horizontalCentered="1"/>
  <pageMargins left="0.59055118110236227" right="0.59055118110236227" top="0.59055118110236227" bottom="0.59055118110236227" header="0.39370078740157483" footer="0.39370078740157483"/>
  <pageSetup paperSize="9" scale="97" firstPageNumber="0" orientation="portrait"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5"/>
  <sheetViews>
    <sheetView view="pageBreakPreview" topLeftCell="A219" zoomScale="55" zoomScaleNormal="100" zoomScaleSheetLayoutView="55" workbookViewId="0">
      <selection activeCell="K250" sqref="K250"/>
    </sheetView>
  </sheetViews>
  <sheetFormatPr defaultRowHeight="13.5" x14ac:dyDescent="0.15"/>
  <cols>
    <col min="1" max="6" width="15.375" style="316" customWidth="1"/>
    <col min="7" max="7" width="13.625" style="316" customWidth="1"/>
    <col min="8" max="8" width="13.625" style="740" customWidth="1"/>
    <col min="9" max="9" width="14.375" style="740" customWidth="1"/>
    <col min="10" max="10" width="15.125" style="740" bestFit="1" customWidth="1"/>
    <col min="11" max="11" width="10.5" style="740" bestFit="1" customWidth="1"/>
    <col min="12" max="12" width="10.625" style="740" customWidth="1"/>
    <col min="13" max="18" width="9" style="740"/>
    <col min="19" max="16384" width="9" style="316"/>
  </cols>
  <sheetData>
    <row r="1" spans="1:13" ht="17.25" x14ac:dyDescent="0.15">
      <c r="A1" s="314" t="s">
        <v>485</v>
      </c>
      <c r="B1" s="315"/>
      <c r="C1" s="315"/>
      <c r="D1" s="315"/>
      <c r="E1" s="315"/>
      <c r="F1" s="315"/>
      <c r="H1" s="750" t="s">
        <v>704</v>
      </c>
    </row>
    <row r="2" spans="1:13" ht="14.25" x14ac:dyDescent="0.15">
      <c r="A2" s="317"/>
      <c r="I2" s="751" t="s">
        <v>691</v>
      </c>
    </row>
    <row r="3" spans="1:13" ht="14.25" x14ac:dyDescent="0.15">
      <c r="A3" s="317"/>
      <c r="H3" s="752" t="s">
        <v>0</v>
      </c>
      <c r="I3" s="753">
        <v>53461</v>
      </c>
      <c r="J3" s="753">
        <v>55246</v>
      </c>
      <c r="K3" s="754">
        <f>M3/L3*100</f>
        <v>0.72304451415272242</v>
      </c>
      <c r="L3" s="753">
        <f>I3+J3</f>
        <v>108707</v>
      </c>
      <c r="M3" s="753">
        <v>786</v>
      </c>
    </row>
    <row r="4" spans="1:13" x14ac:dyDescent="0.15">
      <c r="A4" s="318"/>
      <c r="H4" s="755"/>
      <c r="I4" s="756" t="s">
        <v>482</v>
      </c>
      <c r="J4" s="756" t="s">
        <v>483</v>
      </c>
      <c r="K4" s="756" t="s">
        <v>484</v>
      </c>
      <c r="L4" s="756" t="s">
        <v>539</v>
      </c>
      <c r="M4" s="756" t="s">
        <v>540</v>
      </c>
    </row>
    <row r="5" spans="1:13" x14ac:dyDescent="0.15">
      <c r="A5" s="318" t="s">
        <v>2</v>
      </c>
      <c r="D5" s="318" t="s">
        <v>3</v>
      </c>
      <c r="H5" s="757" t="str">
        <f>'-39-'!A6</f>
        <v>平成20年</v>
      </c>
      <c r="I5" s="758">
        <f>'-39-'!D6</f>
        <v>53971</v>
      </c>
      <c r="J5" s="758">
        <f>'-39-'!E6</f>
        <v>56135</v>
      </c>
      <c r="K5" s="759">
        <f>M5/L5*100</f>
        <v>1.2705937914373422</v>
      </c>
      <c r="L5" s="760">
        <f t="shared" ref="L5:L14" si="0">I5+J5</f>
        <v>110106</v>
      </c>
      <c r="M5" s="761">
        <f>L5-L3</f>
        <v>1399</v>
      </c>
    </row>
    <row r="6" spans="1:13" x14ac:dyDescent="0.15">
      <c r="A6" s="318"/>
      <c r="D6" s="318"/>
      <c r="H6" s="757">
        <f>'-39-'!A7</f>
        <v>21</v>
      </c>
      <c r="I6" s="758">
        <f>'-39-'!D7</f>
        <v>54426</v>
      </c>
      <c r="J6" s="758">
        <f>'-39-'!E7</f>
        <v>56563</v>
      </c>
      <c r="K6" s="759">
        <f t="shared" ref="K6:K14" si="1">M6/L6*100</f>
        <v>0.7955743361954789</v>
      </c>
      <c r="L6" s="761">
        <f t="shared" si="0"/>
        <v>110989</v>
      </c>
      <c r="M6" s="753">
        <f t="shared" ref="M6:M14" si="2">L6-L5</f>
        <v>883</v>
      </c>
    </row>
    <row r="7" spans="1:13" x14ac:dyDescent="0.15">
      <c r="B7" s="319" t="s">
        <v>486</v>
      </c>
      <c r="E7" s="320"/>
      <c r="H7" s="757">
        <f>'-39-'!A8</f>
        <v>22</v>
      </c>
      <c r="I7" s="758">
        <f>'-39-'!D8</f>
        <v>54612</v>
      </c>
      <c r="J7" s="758">
        <f>'-39-'!E8</f>
        <v>56983</v>
      </c>
      <c r="K7" s="759">
        <f t="shared" si="1"/>
        <v>0.54303508221694519</v>
      </c>
      <c r="L7" s="761">
        <f t="shared" si="0"/>
        <v>111595</v>
      </c>
      <c r="M7" s="753">
        <f t="shared" si="2"/>
        <v>606</v>
      </c>
    </row>
    <row r="8" spans="1:13" x14ac:dyDescent="0.15">
      <c r="H8" s="757">
        <f>'-39-'!A9</f>
        <v>23</v>
      </c>
      <c r="I8" s="758">
        <f>'-39-'!D9</f>
        <v>54927</v>
      </c>
      <c r="J8" s="758">
        <f>'-39-'!E9</f>
        <v>57350</v>
      </c>
      <c r="K8" s="759">
        <f t="shared" si="1"/>
        <v>0.60742627608503974</v>
      </c>
      <c r="L8" s="761">
        <f t="shared" si="0"/>
        <v>112277</v>
      </c>
      <c r="M8" s="753">
        <f t="shared" si="2"/>
        <v>682</v>
      </c>
    </row>
    <row r="9" spans="1:13" x14ac:dyDescent="0.15">
      <c r="H9" s="757">
        <f>'-39-'!A10</f>
        <v>24</v>
      </c>
      <c r="I9" s="758">
        <f>'-39-'!D10</f>
        <v>55780</v>
      </c>
      <c r="J9" s="758">
        <f>'-39-'!E10</f>
        <v>57965</v>
      </c>
      <c r="K9" s="759">
        <f t="shared" si="1"/>
        <v>1.2906061804914502</v>
      </c>
      <c r="L9" s="761">
        <f t="shared" si="0"/>
        <v>113745</v>
      </c>
      <c r="M9" s="753">
        <f t="shared" si="2"/>
        <v>1468</v>
      </c>
    </row>
    <row r="10" spans="1:13" x14ac:dyDescent="0.15">
      <c r="H10" s="757">
        <f>'-39-'!A11</f>
        <v>25</v>
      </c>
      <c r="I10" s="758">
        <f>'-39-'!D11</f>
        <v>55949</v>
      </c>
      <c r="J10" s="758">
        <f>'-39-'!E11</f>
        <v>58268</v>
      </c>
      <c r="K10" s="759">
        <f t="shared" si="1"/>
        <v>0.41324846563996598</v>
      </c>
      <c r="L10" s="761">
        <f t="shared" si="0"/>
        <v>114217</v>
      </c>
      <c r="M10" s="753">
        <f t="shared" si="2"/>
        <v>472</v>
      </c>
    </row>
    <row r="11" spans="1:13" x14ac:dyDescent="0.15">
      <c r="H11" s="757">
        <f>'-39-'!A12</f>
        <v>26</v>
      </c>
      <c r="I11" s="758">
        <f>'-39-'!D12</f>
        <v>55850</v>
      </c>
      <c r="J11" s="758">
        <f>'-39-'!E12</f>
        <v>58395</v>
      </c>
      <c r="K11" s="759">
        <f t="shared" si="1"/>
        <v>2.4508731235502644E-2</v>
      </c>
      <c r="L11" s="761">
        <f t="shared" si="0"/>
        <v>114245</v>
      </c>
      <c r="M11" s="753">
        <f t="shared" si="2"/>
        <v>28</v>
      </c>
    </row>
    <row r="12" spans="1:13" x14ac:dyDescent="0.15">
      <c r="H12" s="757">
        <f>'-39-'!A13</f>
        <v>27</v>
      </c>
      <c r="I12" s="758">
        <f>'-39-'!D13</f>
        <v>55729</v>
      </c>
      <c r="J12" s="758">
        <f>'-39-'!E13</f>
        <v>58436</v>
      </c>
      <c r="K12" s="759">
        <f t="shared" si="1"/>
        <v>-7.0074015679061005E-2</v>
      </c>
      <c r="L12" s="761">
        <f t="shared" si="0"/>
        <v>114165</v>
      </c>
      <c r="M12" s="753">
        <f t="shared" si="2"/>
        <v>-80</v>
      </c>
    </row>
    <row r="13" spans="1:13" x14ac:dyDescent="0.15">
      <c r="H13" s="757">
        <f>'-39-'!A14</f>
        <v>28</v>
      </c>
      <c r="I13" s="758">
        <f>'-39-'!D14</f>
        <v>55787</v>
      </c>
      <c r="J13" s="758">
        <f>'-39-'!E14</f>
        <v>58550</v>
      </c>
      <c r="K13" s="759">
        <f t="shared" si="1"/>
        <v>0.15043249341857842</v>
      </c>
      <c r="L13" s="761">
        <f t="shared" si="0"/>
        <v>114337</v>
      </c>
      <c r="M13" s="753">
        <f t="shared" si="2"/>
        <v>172</v>
      </c>
    </row>
    <row r="14" spans="1:13" x14ac:dyDescent="0.15">
      <c r="H14" s="757">
        <f>'-39-'!A15</f>
        <v>29</v>
      </c>
      <c r="I14" s="758">
        <f>'-39-'!D15</f>
        <v>55782</v>
      </c>
      <c r="J14" s="758">
        <f>'-39-'!E15</f>
        <v>58590</v>
      </c>
      <c r="K14" s="759">
        <f t="shared" si="1"/>
        <v>3.060189556884552E-2</v>
      </c>
      <c r="L14" s="761">
        <f t="shared" si="0"/>
        <v>114372</v>
      </c>
      <c r="M14" s="753">
        <f t="shared" si="2"/>
        <v>35</v>
      </c>
    </row>
    <row r="15" spans="1:13" x14ac:dyDescent="0.15">
      <c r="H15" s="750" t="s">
        <v>704</v>
      </c>
    </row>
    <row r="16" spans="1:13" x14ac:dyDescent="0.15">
      <c r="H16" s="752" t="s">
        <v>1</v>
      </c>
    </row>
    <row r="17" spans="8:12" x14ac:dyDescent="0.15">
      <c r="H17" s="746" t="s">
        <v>487</v>
      </c>
      <c r="I17" s="758">
        <f>‐44‐!L6</f>
        <v>99</v>
      </c>
      <c r="J17" s="1106"/>
      <c r="K17" s="1106"/>
      <c r="L17" s="741"/>
    </row>
    <row r="18" spans="8:12" x14ac:dyDescent="0.15">
      <c r="H18" s="746" t="s">
        <v>488</v>
      </c>
      <c r="I18" s="758">
        <f>‐44‐!L7</f>
        <v>85</v>
      </c>
      <c r="J18" s="1106"/>
      <c r="K18" s="1106"/>
      <c r="L18" s="741"/>
    </row>
    <row r="19" spans="8:12" x14ac:dyDescent="0.15">
      <c r="H19" s="746" t="s">
        <v>541</v>
      </c>
      <c r="I19" s="758">
        <f>‐44‐!L8</f>
        <v>59</v>
      </c>
      <c r="J19" s="1106"/>
      <c r="K19" s="1106"/>
      <c r="L19" s="741"/>
    </row>
    <row r="20" spans="8:12" x14ac:dyDescent="0.15">
      <c r="H20" s="746" t="s">
        <v>489</v>
      </c>
      <c r="I20" s="758">
        <f>‐44‐!L9</f>
        <v>67</v>
      </c>
      <c r="J20" s="1106"/>
      <c r="K20" s="1106"/>
      <c r="L20" s="741"/>
    </row>
    <row r="21" spans="8:12" x14ac:dyDescent="0.15">
      <c r="H21" s="746" t="s">
        <v>420</v>
      </c>
      <c r="I21" s="758">
        <f>‐44‐!L10</f>
        <v>439</v>
      </c>
      <c r="J21" s="1106"/>
      <c r="K21" s="1106"/>
      <c r="L21" s="741"/>
    </row>
    <row r="22" spans="8:12" x14ac:dyDescent="0.15">
      <c r="H22" s="746" t="s">
        <v>490</v>
      </c>
      <c r="I22" s="758">
        <f>‐44‐!L11</f>
        <v>75</v>
      </c>
      <c r="J22" s="1106"/>
      <c r="K22" s="1106"/>
      <c r="L22" s="741"/>
    </row>
    <row r="23" spans="8:12" x14ac:dyDescent="0.15">
      <c r="H23" s="746" t="s">
        <v>491</v>
      </c>
      <c r="I23" s="758">
        <f>‐44‐!L12</f>
        <v>10</v>
      </c>
      <c r="J23" s="1106"/>
      <c r="K23" s="1106"/>
      <c r="L23" s="741"/>
    </row>
    <row r="24" spans="8:12" x14ac:dyDescent="0.15">
      <c r="H24" s="746" t="s">
        <v>492</v>
      </c>
      <c r="I24" s="758">
        <f>‐44‐!L13</f>
        <v>6</v>
      </c>
      <c r="J24" s="1106"/>
      <c r="K24" s="1106"/>
      <c r="L24" s="741"/>
    </row>
    <row r="25" spans="8:12" x14ac:dyDescent="0.15">
      <c r="H25" s="746" t="s">
        <v>493</v>
      </c>
      <c r="I25" s="758">
        <f>‐44‐!L14</f>
        <v>5</v>
      </c>
      <c r="J25" s="1106"/>
      <c r="K25" s="1106"/>
      <c r="L25" s="741"/>
    </row>
    <row r="26" spans="8:12" x14ac:dyDescent="0.15">
      <c r="H26" s="746" t="s">
        <v>494</v>
      </c>
      <c r="I26" s="758">
        <f>‐44‐!L15</f>
        <v>4</v>
      </c>
      <c r="J26" s="1106"/>
      <c r="K26" s="1106"/>
      <c r="L26" s="741"/>
    </row>
    <row r="27" spans="8:12" x14ac:dyDescent="0.15">
      <c r="H27" s="746" t="s">
        <v>495</v>
      </c>
      <c r="I27" s="758">
        <f>‐44‐!L16</f>
        <v>6</v>
      </c>
      <c r="J27" s="1106"/>
      <c r="K27" s="1106"/>
      <c r="L27" s="741"/>
    </row>
    <row r="28" spans="8:12" x14ac:dyDescent="0.15">
      <c r="H28" s="746" t="s">
        <v>496</v>
      </c>
      <c r="I28" s="758">
        <f>‐44‐!L17</f>
        <v>0</v>
      </c>
      <c r="J28" s="1106"/>
      <c r="K28" s="1106"/>
      <c r="L28" s="741"/>
    </row>
    <row r="29" spans="8:12" x14ac:dyDescent="0.15">
      <c r="H29" s="746" t="s">
        <v>497</v>
      </c>
      <c r="I29" s="758">
        <f>‐44‐!L18</f>
        <v>7</v>
      </c>
      <c r="J29" s="1106"/>
      <c r="K29" s="1106"/>
      <c r="L29" s="741"/>
    </row>
    <row r="30" spans="8:12" x14ac:dyDescent="0.15">
      <c r="H30" s="746" t="s">
        <v>498</v>
      </c>
      <c r="I30" s="758">
        <f>‐44‐!L19</f>
        <v>105</v>
      </c>
    </row>
    <row r="32" spans="8:12" x14ac:dyDescent="0.15">
      <c r="H32" s="740" t="s">
        <v>669</v>
      </c>
      <c r="I32" s="762">
        <f>SUM(I17:I31)</f>
        <v>967</v>
      </c>
    </row>
    <row r="34" spans="1:10" x14ac:dyDescent="0.15">
      <c r="H34" s="750" t="s">
        <v>704</v>
      </c>
    </row>
    <row r="35" spans="1:10" x14ac:dyDescent="0.15">
      <c r="H35" s="752" t="s">
        <v>4</v>
      </c>
      <c r="I35" s="755"/>
    </row>
    <row r="36" spans="1:10" x14ac:dyDescent="0.15">
      <c r="A36" s="318" t="s">
        <v>499</v>
      </c>
      <c r="D36" s="322"/>
      <c r="H36" s="763" t="s">
        <v>500</v>
      </c>
      <c r="I36" s="763"/>
    </row>
    <row r="37" spans="1:10" x14ac:dyDescent="0.15">
      <c r="H37" s="755" t="s">
        <v>482</v>
      </c>
      <c r="I37" s="755"/>
    </row>
    <row r="38" spans="1:10" x14ac:dyDescent="0.15">
      <c r="H38" s="755" t="s">
        <v>501</v>
      </c>
      <c r="I38" s="622">
        <f>‐41‐!O38</f>
        <v>10433</v>
      </c>
    </row>
    <row r="39" spans="1:10" x14ac:dyDescent="0.15">
      <c r="H39" s="755" t="s">
        <v>502</v>
      </c>
      <c r="I39" s="622">
        <f>‐41‐!O39</f>
        <v>36027</v>
      </c>
      <c r="J39" s="764"/>
    </row>
    <row r="40" spans="1:10" x14ac:dyDescent="0.15">
      <c r="H40" s="755" t="s">
        <v>503</v>
      </c>
      <c r="I40" s="622">
        <f>‐41‐!O40</f>
        <v>9322</v>
      </c>
    </row>
    <row r="41" spans="1:10" x14ac:dyDescent="0.15">
      <c r="H41" s="755" t="s">
        <v>539</v>
      </c>
      <c r="I41" s="765">
        <f>SUM(I38:I40)</f>
        <v>55782</v>
      </c>
    </row>
    <row r="42" spans="1:10" x14ac:dyDescent="0.15">
      <c r="H42" s="755"/>
      <c r="I42" s="755"/>
      <c r="J42" s="764"/>
    </row>
    <row r="43" spans="1:10" x14ac:dyDescent="0.15">
      <c r="H43" s="755" t="s">
        <v>483</v>
      </c>
      <c r="I43" s="755"/>
    </row>
    <row r="44" spans="1:10" x14ac:dyDescent="0.15">
      <c r="H44" s="755" t="s">
        <v>501</v>
      </c>
      <c r="I44" s="622">
        <f>‐41‐!P38</f>
        <v>10050</v>
      </c>
    </row>
    <row r="45" spans="1:10" x14ac:dyDescent="0.15">
      <c r="H45" s="755" t="s">
        <v>502</v>
      </c>
      <c r="I45" s="622">
        <f>‐41‐!P39</f>
        <v>36803</v>
      </c>
    </row>
    <row r="46" spans="1:10" x14ac:dyDescent="0.15">
      <c r="H46" s="755" t="s">
        <v>503</v>
      </c>
      <c r="I46" s="622">
        <f>‐41‐!P40</f>
        <v>11737</v>
      </c>
    </row>
    <row r="47" spans="1:10" x14ac:dyDescent="0.15">
      <c r="H47" s="755" t="s">
        <v>539</v>
      </c>
      <c r="I47" s="765">
        <f>SUM(I44:I46)</f>
        <v>58590</v>
      </c>
    </row>
    <row r="64" spans="1:1" x14ac:dyDescent="0.15">
      <c r="A64" s="318" t="s">
        <v>504</v>
      </c>
    </row>
    <row r="65" spans="1:11" x14ac:dyDescent="0.15">
      <c r="A65" s="318"/>
    </row>
    <row r="78" spans="1:11" x14ac:dyDescent="0.15">
      <c r="H78" s="750" t="s">
        <v>704</v>
      </c>
    </row>
    <row r="79" spans="1:11" x14ac:dyDescent="0.15">
      <c r="H79" s="752" t="s">
        <v>11</v>
      </c>
    </row>
    <row r="80" spans="1:11" x14ac:dyDescent="0.15">
      <c r="H80" s="755"/>
      <c r="I80" s="755" t="s">
        <v>505</v>
      </c>
      <c r="J80" s="755" t="s">
        <v>506</v>
      </c>
      <c r="K80" s="755" t="s">
        <v>507</v>
      </c>
    </row>
    <row r="81" spans="1:12" x14ac:dyDescent="0.15">
      <c r="H81" s="751" t="str">
        <f>‐44‐!A31</f>
        <v>平成19年</v>
      </c>
      <c r="I81" s="766">
        <f>J81+K81</f>
        <v>786</v>
      </c>
      <c r="J81" s="766">
        <f t="shared" ref="J81:J91" si="3">I94-J94</f>
        <v>908</v>
      </c>
      <c r="K81" s="766">
        <f t="shared" ref="K81:K91" si="4">K94-L94</f>
        <v>-122</v>
      </c>
    </row>
    <row r="82" spans="1:12" x14ac:dyDescent="0.15">
      <c r="H82" s="751">
        <v>20</v>
      </c>
      <c r="I82" s="766">
        <f t="shared" ref="I82:I91" si="5">J82+K82</f>
        <v>689</v>
      </c>
      <c r="J82" s="766">
        <f t="shared" si="3"/>
        <v>957</v>
      </c>
      <c r="K82" s="766">
        <f t="shared" si="4"/>
        <v>-268</v>
      </c>
      <c r="L82" s="742"/>
    </row>
    <row r="83" spans="1:12" x14ac:dyDescent="0.15">
      <c r="H83" s="751">
        <v>21</v>
      </c>
      <c r="I83" s="766">
        <f t="shared" si="5"/>
        <v>883</v>
      </c>
      <c r="J83" s="766">
        <f t="shared" si="3"/>
        <v>967</v>
      </c>
      <c r="K83" s="766">
        <f t="shared" si="4"/>
        <v>-84</v>
      </c>
    </row>
    <row r="84" spans="1:12" x14ac:dyDescent="0.15">
      <c r="H84" s="751">
        <v>22</v>
      </c>
      <c r="I84" s="766">
        <f t="shared" si="5"/>
        <v>657</v>
      </c>
      <c r="J84" s="766">
        <f t="shared" si="3"/>
        <v>853</v>
      </c>
      <c r="K84" s="766">
        <f t="shared" si="4"/>
        <v>-196</v>
      </c>
    </row>
    <row r="85" spans="1:12" x14ac:dyDescent="0.15">
      <c r="H85" s="751">
        <v>23</v>
      </c>
      <c r="I85" s="766">
        <f t="shared" si="5"/>
        <v>727</v>
      </c>
      <c r="J85" s="766">
        <f t="shared" si="3"/>
        <v>859</v>
      </c>
      <c r="K85" s="766">
        <f t="shared" si="4"/>
        <v>-132</v>
      </c>
    </row>
    <row r="86" spans="1:12" x14ac:dyDescent="0.15">
      <c r="H86" s="751">
        <v>24</v>
      </c>
      <c r="I86" s="766">
        <f t="shared" si="5"/>
        <v>1573</v>
      </c>
      <c r="J86" s="766">
        <f t="shared" si="3"/>
        <v>899</v>
      </c>
      <c r="K86" s="766">
        <f t="shared" si="4"/>
        <v>674</v>
      </c>
    </row>
    <row r="87" spans="1:12" x14ac:dyDescent="0.15">
      <c r="H87" s="751">
        <v>25</v>
      </c>
      <c r="I87" s="766">
        <f t="shared" si="5"/>
        <v>494</v>
      </c>
      <c r="J87" s="766">
        <f t="shared" si="3"/>
        <v>812</v>
      </c>
      <c r="K87" s="766">
        <f t="shared" si="4"/>
        <v>-318</v>
      </c>
    </row>
    <row r="88" spans="1:12" x14ac:dyDescent="0.15">
      <c r="H88" s="751">
        <v>26</v>
      </c>
      <c r="I88" s="766">
        <f t="shared" si="5"/>
        <v>28</v>
      </c>
      <c r="J88" s="766">
        <f t="shared" si="3"/>
        <v>720</v>
      </c>
      <c r="K88" s="766">
        <f t="shared" si="4"/>
        <v>-692</v>
      </c>
    </row>
    <row r="89" spans="1:12" x14ac:dyDescent="0.15">
      <c r="H89" s="751">
        <v>27</v>
      </c>
      <c r="I89" s="766">
        <f t="shared" si="5"/>
        <v>-80</v>
      </c>
      <c r="J89" s="766">
        <f t="shared" si="3"/>
        <v>746</v>
      </c>
      <c r="K89" s="766">
        <f t="shared" si="4"/>
        <v>-826</v>
      </c>
    </row>
    <row r="90" spans="1:12" x14ac:dyDescent="0.15">
      <c r="H90" s="751">
        <v>28</v>
      </c>
      <c r="I90" s="766">
        <f t="shared" si="5"/>
        <v>152</v>
      </c>
      <c r="J90" s="766">
        <f t="shared" si="3"/>
        <v>620</v>
      </c>
      <c r="K90" s="766">
        <f t="shared" si="4"/>
        <v>-468</v>
      </c>
    </row>
    <row r="91" spans="1:12" x14ac:dyDescent="0.15">
      <c r="H91" s="751" t="s">
        <v>690</v>
      </c>
      <c r="I91" s="766">
        <f t="shared" si="5"/>
        <v>35</v>
      </c>
      <c r="J91" s="766">
        <f t="shared" si="3"/>
        <v>554</v>
      </c>
      <c r="K91" s="766">
        <f t="shared" si="4"/>
        <v>-519</v>
      </c>
    </row>
    <row r="92" spans="1:12" x14ac:dyDescent="0.15">
      <c r="H92" s="752" t="s">
        <v>10</v>
      </c>
      <c r="I92" s="750" t="s">
        <v>704</v>
      </c>
    </row>
    <row r="93" spans="1:12" x14ac:dyDescent="0.15">
      <c r="A93" s="318" t="s">
        <v>508</v>
      </c>
      <c r="H93" s="743"/>
      <c r="I93" s="743" t="s">
        <v>509</v>
      </c>
      <c r="J93" s="743" t="s">
        <v>510</v>
      </c>
      <c r="K93" s="743" t="s">
        <v>511</v>
      </c>
      <c r="L93" s="743" t="s">
        <v>512</v>
      </c>
    </row>
    <row r="94" spans="1:12" x14ac:dyDescent="0.15">
      <c r="H94" s="767" t="s">
        <v>691</v>
      </c>
      <c r="I94" s="758">
        <f>‐44‐!F31</f>
        <v>1503</v>
      </c>
      <c r="J94" s="758">
        <f>‐44‐!G31</f>
        <v>595</v>
      </c>
      <c r="K94" s="758">
        <f>‐44‐!I31</f>
        <v>6076</v>
      </c>
      <c r="L94" s="758">
        <f>‐44‐!J31</f>
        <v>6198</v>
      </c>
    </row>
    <row r="95" spans="1:12" x14ac:dyDescent="0.15">
      <c r="H95" s="767">
        <v>20</v>
      </c>
      <c r="I95" s="758">
        <f>‐44‐!F32</f>
        <v>1516</v>
      </c>
      <c r="J95" s="758">
        <f>‐44‐!G32</f>
        <v>559</v>
      </c>
      <c r="K95" s="758">
        <f>‐44‐!I32</f>
        <v>5782</v>
      </c>
      <c r="L95" s="758">
        <f>‐44‐!J32</f>
        <v>6050</v>
      </c>
    </row>
    <row r="96" spans="1:12" x14ac:dyDescent="0.15">
      <c r="H96" s="767">
        <v>21</v>
      </c>
      <c r="I96" s="758">
        <f>‐44‐!F33</f>
        <v>1544</v>
      </c>
      <c r="J96" s="758">
        <f>‐44‐!G33</f>
        <v>577</v>
      </c>
      <c r="K96" s="758">
        <f>‐44‐!I33</f>
        <v>5675</v>
      </c>
      <c r="L96" s="758">
        <f>‐44‐!J33</f>
        <v>5759</v>
      </c>
    </row>
    <row r="97" spans="8:12" x14ac:dyDescent="0.15">
      <c r="H97" s="767">
        <v>22</v>
      </c>
      <c r="I97" s="758">
        <f>‐44‐!F34</f>
        <v>1507</v>
      </c>
      <c r="J97" s="758">
        <f>‐44‐!G34</f>
        <v>654</v>
      </c>
      <c r="K97" s="758">
        <f>‐44‐!I34</f>
        <v>5698</v>
      </c>
      <c r="L97" s="758">
        <f>‐44‐!J34</f>
        <v>5894</v>
      </c>
    </row>
    <row r="98" spans="8:12" x14ac:dyDescent="0.15">
      <c r="H98" s="767">
        <v>23</v>
      </c>
      <c r="I98" s="758">
        <f>‐44‐!F35</f>
        <v>1542</v>
      </c>
      <c r="J98" s="758">
        <f>‐44‐!G35</f>
        <v>683</v>
      </c>
      <c r="K98" s="758">
        <f>‐44‐!I35</f>
        <v>5604</v>
      </c>
      <c r="L98" s="758">
        <f>‐44‐!J35</f>
        <v>5736</v>
      </c>
    </row>
    <row r="99" spans="8:12" x14ac:dyDescent="0.15">
      <c r="H99" s="767">
        <v>24</v>
      </c>
      <c r="I99" s="758">
        <f>‐44‐!F36</f>
        <v>1540</v>
      </c>
      <c r="J99" s="758">
        <f>‐44‐!G36</f>
        <v>641</v>
      </c>
      <c r="K99" s="758">
        <f>‐44‐!I36</f>
        <v>6298</v>
      </c>
      <c r="L99" s="758">
        <f>‐44‐!J36</f>
        <v>5624</v>
      </c>
    </row>
    <row r="100" spans="8:12" x14ac:dyDescent="0.15">
      <c r="H100" s="767">
        <v>25</v>
      </c>
      <c r="I100" s="758">
        <f>‐44‐!F37</f>
        <v>1452</v>
      </c>
      <c r="J100" s="758">
        <f>‐44‐!G37</f>
        <v>640</v>
      </c>
      <c r="K100" s="758">
        <f>‐44‐!I37</f>
        <v>6024</v>
      </c>
      <c r="L100" s="758">
        <f>‐44‐!J37</f>
        <v>6342</v>
      </c>
    </row>
    <row r="101" spans="8:12" x14ac:dyDescent="0.15">
      <c r="H101" s="767">
        <v>26</v>
      </c>
      <c r="I101" s="758">
        <f>‐44‐!F38</f>
        <v>1391</v>
      </c>
      <c r="J101" s="758">
        <f>‐44‐!G38</f>
        <v>671</v>
      </c>
      <c r="K101" s="758">
        <f>‐44‐!I38</f>
        <v>5587</v>
      </c>
      <c r="L101" s="758">
        <f>‐44‐!J38</f>
        <v>6279</v>
      </c>
    </row>
    <row r="102" spans="8:12" x14ac:dyDescent="0.15">
      <c r="H102" s="767">
        <v>27</v>
      </c>
      <c r="I102" s="758">
        <f>‐44‐!F39</f>
        <v>1433</v>
      </c>
      <c r="J102" s="758">
        <f>‐44‐!G39</f>
        <v>687</v>
      </c>
      <c r="K102" s="758">
        <f>‐44‐!I39</f>
        <v>5477</v>
      </c>
      <c r="L102" s="758">
        <f>‐44‐!J39</f>
        <v>6303</v>
      </c>
    </row>
    <row r="103" spans="8:12" x14ac:dyDescent="0.15">
      <c r="H103" s="767">
        <v>28</v>
      </c>
      <c r="I103" s="758">
        <f>‐44‐!F40</f>
        <v>1350</v>
      </c>
      <c r="J103" s="758">
        <f>‐44‐!G40</f>
        <v>730</v>
      </c>
      <c r="K103" s="758">
        <f>‐44‐!I40</f>
        <v>5854</v>
      </c>
      <c r="L103" s="758">
        <f>‐44‐!J40</f>
        <v>6322</v>
      </c>
    </row>
    <row r="104" spans="8:12" x14ac:dyDescent="0.15">
      <c r="H104" s="767" t="s">
        <v>690</v>
      </c>
      <c r="I104" s="758">
        <f>‐44‐!F41</f>
        <v>1291</v>
      </c>
      <c r="J104" s="758">
        <f>‐44‐!G41</f>
        <v>737</v>
      </c>
      <c r="K104" s="758">
        <f>‐44‐!I41</f>
        <v>5634</v>
      </c>
      <c r="L104" s="758">
        <f>‐44‐!J41</f>
        <v>6153</v>
      </c>
    </row>
    <row r="109" spans="8:12" x14ac:dyDescent="0.15">
      <c r="I109" s="742"/>
      <c r="J109" s="742"/>
      <c r="K109" s="742"/>
    </row>
    <row r="110" spans="8:12" x14ac:dyDescent="0.15">
      <c r="L110" s="742"/>
    </row>
    <row r="123" spans="1:11" x14ac:dyDescent="0.15">
      <c r="A123" s="318" t="s">
        <v>513</v>
      </c>
      <c r="H123" s="750" t="s">
        <v>705</v>
      </c>
    </row>
    <row r="124" spans="1:11" x14ac:dyDescent="0.15">
      <c r="H124" s="752" t="s">
        <v>9</v>
      </c>
    </row>
    <row r="125" spans="1:11" x14ac:dyDescent="0.15">
      <c r="C125" s="326"/>
      <c r="H125" s="755"/>
      <c r="I125" s="751" t="s">
        <v>482</v>
      </c>
      <c r="J125" s="751" t="s">
        <v>483</v>
      </c>
      <c r="K125" s="751" t="s">
        <v>12</v>
      </c>
    </row>
    <row r="126" spans="1:11" x14ac:dyDescent="0.15">
      <c r="H126" s="755" t="s">
        <v>670</v>
      </c>
      <c r="I126" s="758">
        <f>‐48‐!D25</f>
        <v>20362</v>
      </c>
      <c r="J126" s="758">
        <f>‐48‐!E25</f>
        <v>21406</v>
      </c>
      <c r="K126" s="768">
        <f>‐48‐!G25</f>
        <v>35.520000000000003</v>
      </c>
    </row>
    <row r="127" spans="1:11" x14ac:dyDescent="0.15">
      <c r="H127" s="755" t="s">
        <v>514</v>
      </c>
      <c r="I127" s="758">
        <f>‐48‐!D27</f>
        <v>29382</v>
      </c>
      <c r="J127" s="758">
        <f>‐48‐!E27</f>
        <v>29907</v>
      </c>
      <c r="K127" s="768">
        <f>‐48‐!G27</f>
        <v>41.95</v>
      </c>
    </row>
    <row r="128" spans="1:11" x14ac:dyDescent="0.15">
      <c r="H128" s="755" t="s">
        <v>515</v>
      </c>
      <c r="I128" s="758">
        <f>‐48‐!D29</f>
        <v>34773</v>
      </c>
      <c r="J128" s="758">
        <f>‐48‐!E29</f>
        <v>35509</v>
      </c>
      <c r="K128" s="768">
        <f>‐48‐!G29</f>
        <v>18.54</v>
      </c>
    </row>
    <row r="129" spans="2:11" x14ac:dyDescent="0.15">
      <c r="H129" s="755" t="s">
        <v>516</v>
      </c>
      <c r="I129" s="758">
        <f>‐48‐!D31</f>
        <v>40547</v>
      </c>
      <c r="J129" s="758">
        <f>‐48‐!E31</f>
        <v>41064</v>
      </c>
      <c r="K129" s="768">
        <f>‐48‐!G31</f>
        <v>16.12</v>
      </c>
    </row>
    <row r="130" spans="2:11" x14ac:dyDescent="0.15">
      <c r="H130" s="755" t="s">
        <v>572</v>
      </c>
      <c r="I130" s="758">
        <f>‐48‐!D33</f>
        <v>44316</v>
      </c>
      <c r="J130" s="758">
        <f>‐48‐!E33</f>
        <v>45678</v>
      </c>
      <c r="K130" s="768">
        <f>‐48‐!G33</f>
        <v>10.27</v>
      </c>
    </row>
    <row r="131" spans="2:11" x14ac:dyDescent="0.15">
      <c r="H131" s="755" t="s">
        <v>573</v>
      </c>
      <c r="I131" s="758">
        <f>‐48‐!D35</f>
        <v>47360</v>
      </c>
      <c r="J131" s="758">
        <f>‐48‐!E35</f>
        <v>48642</v>
      </c>
      <c r="K131" s="768">
        <f>‐48‐!G35</f>
        <v>6.68</v>
      </c>
    </row>
    <row r="132" spans="2:11" x14ac:dyDescent="0.15">
      <c r="H132" s="755" t="s">
        <v>517</v>
      </c>
      <c r="I132" s="758">
        <f>‐48‐!D37</f>
        <v>50440</v>
      </c>
      <c r="J132" s="758">
        <f>‐48‐!E37</f>
        <v>52294</v>
      </c>
      <c r="K132" s="768">
        <f>‐48‐!G37</f>
        <v>7.01</v>
      </c>
    </row>
    <row r="133" spans="2:11" x14ac:dyDescent="0.15">
      <c r="H133" s="755" t="s">
        <v>518</v>
      </c>
      <c r="I133" s="758">
        <f>‐48‐!D39</f>
        <v>52128</v>
      </c>
      <c r="J133" s="758">
        <f>‐48‐!E39</f>
        <v>53921</v>
      </c>
      <c r="K133" s="768">
        <f>‐48‐!G39</f>
        <v>3.23</v>
      </c>
    </row>
    <row r="134" spans="2:11" x14ac:dyDescent="0.15">
      <c r="H134" s="755" t="s">
        <v>8</v>
      </c>
      <c r="I134" s="758">
        <f>‐48‐!D41</f>
        <v>53948</v>
      </c>
      <c r="J134" s="758">
        <f>‐48‐!E41</f>
        <v>56403</v>
      </c>
      <c r="K134" s="768">
        <f>‐48‐!G41</f>
        <v>4.0599999999999996</v>
      </c>
    </row>
    <row r="135" spans="2:11" x14ac:dyDescent="0.15">
      <c r="H135" s="755" t="s">
        <v>671</v>
      </c>
      <c r="I135" s="769">
        <f>‐48‐!D43</f>
        <v>55471</v>
      </c>
      <c r="J135" s="770">
        <f>‐48‐!E43</f>
        <v>58761</v>
      </c>
      <c r="K135" s="771">
        <f>‐48‐!G43</f>
        <v>3.52</v>
      </c>
    </row>
    <row r="136" spans="2:11" x14ac:dyDescent="0.15">
      <c r="J136" s="740" t="s">
        <v>519</v>
      </c>
    </row>
    <row r="137" spans="2:11" x14ac:dyDescent="0.15">
      <c r="B137" s="323"/>
      <c r="C137" s="323"/>
    </row>
    <row r="139" spans="2:11" x14ac:dyDescent="0.15">
      <c r="B139" s="323"/>
      <c r="C139" s="323"/>
    </row>
    <row r="141" spans="2:11" x14ac:dyDescent="0.15">
      <c r="B141" s="323"/>
      <c r="C141" s="323"/>
    </row>
    <row r="154" spans="1:10" x14ac:dyDescent="0.15">
      <c r="H154" s="750" t="s">
        <v>705</v>
      </c>
    </row>
    <row r="155" spans="1:10" x14ac:dyDescent="0.15">
      <c r="A155" s="318" t="s">
        <v>520</v>
      </c>
      <c r="H155" s="772">
        <v>-12</v>
      </c>
    </row>
    <row r="156" spans="1:10" x14ac:dyDescent="0.15">
      <c r="I156" s="740" t="s">
        <v>521</v>
      </c>
      <c r="J156" s="740" t="s">
        <v>522</v>
      </c>
    </row>
    <row r="157" spans="1:10" x14ac:dyDescent="0.15">
      <c r="B157" s="368" t="s">
        <v>672</v>
      </c>
      <c r="H157" s="740" t="s">
        <v>523</v>
      </c>
      <c r="I157" s="773">
        <f>‐53‐!P14</f>
        <v>64.014373716632448</v>
      </c>
      <c r="J157" s="773">
        <f>100-I157</f>
        <v>35.985626283367552</v>
      </c>
    </row>
    <row r="158" spans="1:10" x14ac:dyDescent="0.15">
      <c r="H158" s="740" t="s">
        <v>524</v>
      </c>
      <c r="I158" s="773">
        <f>‐53‐!N14</f>
        <v>97.318614748931992</v>
      </c>
      <c r="J158" s="773">
        <f>100-I158</f>
        <v>2.6813852510680078</v>
      </c>
    </row>
    <row r="179" spans="1:15" x14ac:dyDescent="0.15">
      <c r="D179" s="318" t="s">
        <v>525</v>
      </c>
    </row>
    <row r="183" spans="1:15" x14ac:dyDescent="0.15">
      <c r="M183" s="750" t="s">
        <v>705</v>
      </c>
    </row>
    <row r="185" spans="1:15" x14ac:dyDescent="0.15">
      <c r="A185" s="318"/>
      <c r="B185" s="376" t="s">
        <v>545</v>
      </c>
      <c r="C185" s="318"/>
      <c r="D185" s="367"/>
      <c r="E185" s="377" t="s">
        <v>544</v>
      </c>
      <c r="F185" s="318"/>
      <c r="H185" s="750" t="s">
        <v>705</v>
      </c>
      <c r="M185" s="752" t="s">
        <v>13</v>
      </c>
    </row>
    <row r="186" spans="1:15" x14ac:dyDescent="0.15">
      <c r="B186" s="376" t="s">
        <v>537</v>
      </c>
      <c r="C186" s="318"/>
      <c r="E186" s="377" t="s">
        <v>538</v>
      </c>
      <c r="F186" s="318"/>
      <c r="H186" s="772">
        <v>-13</v>
      </c>
      <c r="M186" s="774"/>
      <c r="N186" s="774" t="s">
        <v>482</v>
      </c>
      <c r="O186" s="774" t="s">
        <v>483</v>
      </c>
    </row>
    <row r="187" spans="1:15" x14ac:dyDescent="0.15">
      <c r="A187" s="1107"/>
      <c r="B187" s="1107"/>
      <c r="C187" s="318"/>
      <c r="D187" s="318"/>
      <c r="E187" s="318"/>
      <c r="F187" s="318"/>
      <c r="H187" s="775"/>
      <c r="I187" s="746" t="s">
        <v>526</v>
      </c>
      <c r="J187" s="746" t="s">
        <v>527</v>
      </c>
      <c r="K187" s="746" t="s">
        <v>528</v>
      </c>
      <c r="M187" s="774">
        <v>0</v>
      </c>
      <c r="N187" s="774">
        <v>668</v>
      </c>
      <c r="O187" s="774">
        <v>699</v>
      </c>
    </row>
    <row r="188" spans="1:15" x14ac:dyDescent="0.15">
      <c r="A188" s="318"/>
      <c r="B188" s="318"/>
      <c r="C188" s="318"/>
      <c r="D188" s="318"/>
      <c r="E188" s="318"/>
      <c r="F188" s="318"/>
      <c r="H188" s="776" t="s">
        <v>582</v>
      </c>
      <c r="I188" s="758">
        <f>‐50‐!C12</f>
        <v>21528</v>
      </c>
      <c r="J188" s="758">
        <f>‐50‐!G12</f>
        <v>71343</v>
      </c>
      <c r="K188" s="758">
        <f>‐50‐!J12</f>
        <v>13169</v>
      </c>
      <c r="M188" s="774">
        <v>1</v>
      </c>
      <c r="N188" s="774">
        <v>672</v>
      </c>
      <c r="O188" s="774">
        <v>646</v>
      </c>
    </row>
    <row r="189" spans="1:15" x14ac:dyDescent="0.15">
      <c r="A189" s="318"/>
      <c r="B189" s="318"/>
      <c r="C189" s="318"/>
      <c r="D189" s="318"/>
      <c r="E189" s="318"/>
      <c r="F189" s="318"/>
      <c r="H189" s="776" t="s">
        <v>8</v>
      </c>
      <c r="I189" s="758">
        <f>‐50‐!C14</f>
        <v>21264</v>
      </c>
      <c r="J189" s="758">
        <f>‐50‐!G14</f>
        <v>72687</v>
      </c>
      <c r="K189" s="758">
        <f>‐50‐!J14</f>
        <v>15846</v>
      </c>
      <c r="M189" s="774">
        <v>2</v>
      </c>
      <c r="N189" s="774">
        <v>676</v>
      </c>
      <c r="O189" s="774">
        <v>684</v>
      </c>
    </row>
    <row r="190" spans="1:15" x14ac:dyDescent="0.15">
      <c r="A190" s="318"/>
      <c r="B190" s="318"/>
      <c r="C190" s="318"/>
      <c r="D190" s="318"/>
      <c r="E190" s="318"/>
      <c r="F190" s="318"/>
      <c r="H190" s="776" t="s">
        <v>671</v>
      </c>
      <c r="I190" s="758">
        <f>‐50‐!C16</f>
        <v>20910</v>
      </c>
      <c r="J190" s="758">
        <f>‐50‐!G16</f>
        <v>72626</v>
      </c>
      <c r="K190" s="758">
        <f>‐50‐!J16</f>
        <v>19476</v>
      </c>
      <c r="M190" s="774">
        <v>3</v>
      </c>
      <c r="N190" s="774">
        <v>750</v>
      </c>
      <c r="O190" s="774">
        <v>711</v>
      </c>
    </row>
    <row r="191" spans="1:15" x14ac:dyDescent="0.15">
      <c r="A191" s="318"/>
      <c r="B191" s="318"/>
      <c r="C191" s="318"/>
      <c r="D191" s="318"/>
      <c r="E191" s="318"/>
      <c r="F191" s="318"/>
      <c r="M191" s="774">
        <v>4</v>
      </c>
      <c r="N191" s="774">
        <v>681</v>
      </c>
      <c r="O191" s="774">
        <v>716</v>
      </c>
    </row>
    <row r="192" spans="1:15" x14ac:dyDescent="0.15">
      <c r="A192" s="318"/>
      <c r="B192" s="318"/>
      <c r="C192" s="318"/>
      <c r="D192" s="318"/>
      <c r="E192" s="318"/>
      <c r="F192" s="318"/>
      <c r="M192" s="774">
        <v>5</v>
      </c>
      <c r="N192" s="774">
        <v>719</v>
      </c>
      <c r="O192" s="774">
        <v>678</v>
      </c>
    </row>
    <row r="193" spans="1:15" x14ac:dyDescent="0.15">
      <c r="A193" s="318"/>
      <c r="B193" s="318"/>
      <c r="C193" s="318"/>
      <c r="D193" s="318"/>
      <c r="E193" s="318"/>
      <c r="F193" s="318"/>
      <c r="M193" s="774">
        <v>6</v>
      </c>
      <c r="N193" s="774">
        <v>717</v>
      </c>
      <c r="O193" s="774">
        <v>682</v>
      </c>
    </row>
    <row r="194" spans="1:15" x14ac:dyDescent="0.15">
      <c r="A194" s="318"/>
      <c r="B194" s="318"/>
      <c r="C194" s="318"/>
      <c r="D194" s="318"/>
      <c r="E194" s="318"/>
      <c r="F194" s="318"/>
      <c r="H194" s="750" t="s">
        <v>705</v>
      </c>
      <c r="M194" s="774">
        <v>7</v>
      </c>
      <c r="N194" s="774">
        <v>673</v>
      </c>
      <c r="O194" s="774">
        <v>715</v>
      </c>
    </row>
    <row r="195" spans="1:15" x14ac:dyDescent="0.15">
      <c r="A195" s="318"/>
      <c r="B195" s="318"/>
      <c r="C195" s="318"/>
      <c r="E195" s="318"/>
      <c r="F195" s="318"/>
      <c r="H195" s="777">
        <v>-14</v>
      </c>
      <c r="M195" s="774">
        <v>8</v>
      </c>
      <c r="N195" s="774">
        <v>727</v>
      </c>
      <c r="O195" s="774">
        <v>668</v>
      </c>
    </row>
    <row r="196" spans="1:15" x14ac:dyDescent="0.15">
      <c r="A196" s="318"/>
      <c r="B196" s="318"/>
      <c r="C196" s="318"/>
      <c r="D196" s="318"/>
      <c r="E196" s="318"/>
      <c r="F196" s="318"/>
      <c r="H196" s="743" t="s">
        <v>536</v>
      </c>
      <c r="I196" s="743" t="s">
        <v>529</v>
      </c>
      <c r="J196" s="743" t="s">
        <v>530</v>
      </c>
      <c r="K196" s="743" t="s">
        <v>498</v>
      </c>
      <c r="M196" s="774">
        <v>9</v>
      </c>
      <c r="N196" s="774">
        <v>736</v>
      </c>
      <c r="O196" s="774">
        <v>691</v>
      </c>
    </row>
    <row r="197" spans="1:15" x14ac:dyDescent="0.15">
      <c r="A197" s="318"/>
      <c r="B197" s="318"/>
      <c r="C197" s="318"/>
      <c r="D197" s="318"/>
      <c r="E197" s="318"/>
      <c r="F197" s="318"/>
      <c r="H197" s="743" t="s">
        <v>582</v>
      </c>
      <c r="I197" s="744">
        <v>16350</v>
      </c>
      <c r="J197" s="744">
        <v>20157</v>
      </c>
      <c r="K197" s="744">
        <v>1679</v>
      </c>
      <c r="L197" s="743"/>
      <c r="M197" s="774">
        <v>10</v>
      </c>
      <c r="N197" s="774">
        <v>661</v>
      </c>
      <c r="O197" s="774">
        <v>595</v>
      </c>
    </row>
    <row r="198" spans="1:15" x14ac:dyDescent="0.15">
      <c r="A198" s="318"/>
      <c r="B198" s="318"/>
      <c r="C198" s="318"/>
      <c r="D198" s="318"/>
      <c r="E198" s="318"/>
      <c r="F198" s="318"/>
      <c r="H198" s="743" t="s">
        <v>8</v>
      </c>
      <c r="I198" s="744">
        <f>‐54‐!B27</f>
        <v>16933</v>
      </c>
      <c r="J198" s="744">
        <f>‐54‐!B28+‐54‐!B29</f>
        <v>21936</v>
      </c>
      <c r="K198" s="744">
        <f>‐54‐!B30+‐54‐!B31</f>
        <v>1825</v>
      </c>
      <c r="L198" s="744"/>
      <c r="M198" s="774">
        <v>11</v>
      </c>
      <c r="N198" s="774">
        <v>736</v>
      </c>
      <c r="O198" s="774">
        <v>670</v>
      </c>
    </row>
    <row r="199" spans="1:15" x14ac:dyDescent="0.15">
      <c r="A199" s="318"/>
      <c r="B199" s="318"/>
      <c r="C199" s="318"/>
      <c r="D199" s="318"/>
      <c r="E199" s="318"/>
      <c r="F199" s="318"/>
      <c r="H199" s="743" t="s">
        <v>671</v>
      </c>
      <c r="I199" s="744">
        <f>‐54‐!C27</f>
        <v>18531</v>
      </c>
      <c r="J199" s="744">
        <f>‐54‐!C28+‐54‐!C29</f>
        <v>23767</v>
      </c>
      <c r="K199" s="744">
        <f>‐54‐!C30+‐54‐!C31</f>
        <v>1465</v>
      </c>
      <c r="L199" s="744"/>
      <c r="M199" s="774">
        <v>12</v>
      </c>
      <c r="N199" s="774">
        <v>748</v>
      </c>
      <c r="O199" s="774">
        <v>680</v>
      </c>
    </row>
    <row r="200" spans="1:15" x14ac:dyDescent="0.15">
      <c r="A200" s="318"/>
      <c r="B200" s="318"/>
      <c r="C200" s="318"/>
      <c r="D200" s="318"/>
      <c r="E200" s="318"/>
      <c r="F200" s="318"/>
      <c r="L200" s="744"/>
      <c r="M200" s="774">
        <v>13</v>
      </c>
      <c r="N200" s="774">
        <v>702</v>
      </c>
      <c r="O200" s="774">
        <v>696</v>
      </c>
    </row>
    <row r="201" spans="1:15" x14ac:dyDescent="0.15">
      <c r="A201" s="318"/>
      <c r="B201" s="318"/>
      <c r="C201" s="318"/>
      <c r="D201" s="318"/>
      <c r="E201" s="318"/>
      <c r="F201" s="318"/>
      <c r="M201" s="774">
        <v>14</v>
      </c>
      <c r="N201" s="774">
        <v>776</v>
      </c>
      <c r="O201" s="774">
        <v>737</v>
      </c>
    </row>
    <row r="202" spans="1:15" x14ac:dyDescent="0.15">
      <c r="A202" s="318"/>
      <c r="B202" s="318"/>
      <c r="C202" s="318"/>
      <c r="D202" s="318"/>
      <c r="E202" s="318"/>
      <c r="F202" s="318"/>
      <c r="M202" s="774">
        <v>15</v>
      </c>
      <c r="N202" s="774">
        <v>711</v>
      </c>
      <c r="O202" s="774">
        <v>744</v>
      </c>
    </row>
    <row r="203" spans="1:15" x14ac:dyDescent="0.15">
      <c r="A203" s="318"/>
      <c r="B203" s="318"/>
      <c r="C203" s="318"/>
      <c r="D203" s="318"/>
      <c r="E203" s="318"/>
      <c r="F203" s="318"/>
      <c r="M203" s="774">
        <v>16</v>
      </c>
      <c r="N203" s="774">
        <v>753</v>
      </c>
      <c r="O203" s="774">
        <v>730</v>
      </c>
    </row>
    <row r="204" spans="1:15" x14ac:dyDescent="0.15">
      <c r="A204" s="318"/>
      <c r="B204" s="318"/>
      <c r="C204" s="318"/>
      <c r="D204" s="318"/>
      <c r="E204" s="318"/>
      <c r="F204" s="318"/>
      <c r="M204" s="774">
        <v>17</v>
      </c>
      <c r="N204" s="774">
        <v>785</v>
      </c>
      <c r="O204" s="774">
        <v>710</v>
      </c>
    </row>
    <row r="205" spans="1:15" x14ac:dyDescent="0.15">
      <c r="A205" s="318"/>
      <c r="B205" s="318"/>
      <c r="C205" s="318"/>
      <c r="D205" s="318"/>
      <c r="E205" s="318"/>
      <c r="F205" s="318"/>
      <c r="M205" s="774">
        <v>18</v>
      </c>
      <c r="N205" s="774">
        <v>676</v>
      </c>
      <c r="O205" s="774">
        <v>657</v>
      </c>
    </row>
    <row r="206" spans="1:15" x14ac:dyDescent="0.15">
      <c r="A206" s="318"/>
      <c r="B206" s="318"/>
      <c r="C206" s="318"/>
      <c r="D206" s="318"/>
      <c r="E206" s="318"/>
      <c r="F206" s="318"/>
      <c r="H206" s="745"/>
      <c r="I206" s="746"/>
      <c r="J206" s="746"/>
      <c r="K206" s="746"/>
      <c r="M206" s="774">
        <v>19</v>
      </c>
      <c r="N206" s="774">
        <v>579</v>
      </c>
      <c r="O206" s="774">
        <v>559</v>
      </c>
    </row>
    <row r="207" spans="1:15" x14ac:dyDescent="0.15">
      <c r="A207" s="318"/>
      <c r="B207" s="318"/>
      <c r="C207" s="318"/>
      <c r="D207" s="318"/>
      <c r="E207" s="318"/>
      <c r="F207" s="318"/>
      <c r="H207" s="745"/>
      <c r="I207" s="1106"/>
      <c r="J207" s="1106"/>
      <c r="L207" s="746"/>
      <c r="M207" s="774">
        <v>20</v>
      </c>
      <c r="N207" s="774">
        <v>559</v>
      </c>
      <c r="O207" s="774">
        <v>605</v>
      </c>
    </row>
    <row r="208" spans="1:15" x14ac:dyDescent="0.15">
      <c r="A208" s="318"/>
      <c r="B208" s="318"/>
      <c r="C208" s="318"/>
      <c r="D208" s="318"/>
      <c r="E208" s="318"/>
      <c r="F208" s="318"/>
      <c r="H208" s="745"/>
      <c r="I208" s="1106"/>
      <c r="J208" s="1106"/>
      <c r="M208" s="774">
        <v>21</v>
      </c>
      <c r="N208" s="774">
        <v>571</v>
      </c>
      <c r="O208" s="774">
        <v>556</v>
      </c>
    </row>
    <row r="209" spans="1:15" x14ac:dyDescent="0.15">
      <c r="A209" s="318"/>
      <c r="B209" s="318"/>
      <c r="C209" s="318"/>
      <c r="D209" s="318"/>
      <c r="E209" s="318"/>
      <c r="F209" s="318"/>
      <c r="H209" s="746"/>
      <c r="I209" s="747"/>
      <c r="J209" s="747"/>
      <c r="M209" s="774">
        <v>22</v>
      </c>
      <c r="N209" s="774">
        <v>570</v>
      </c>
      <c r="O209" s="774">
        <v>593</v>
      </c>
    </row>
    <row r="210" spans="1:15" x14ac:dyDescent="0.15">
      <c r="A210" s="318"/>
      <c r="B210" s="318"/>
      <c r="C210" s="318"/>
      <c r="D210" s="318"/>
      <c r="E210" s="318"/>
      <c r="F210" s="318"/>
      <c r="H210" s="746"/>
      <c r="I210" s="747"/>
      <c r="J210" s="747"/>
      <c r="M210" s="774">
        <v>23</v>
      </c>
      <c r="N210" s="774">
        <v>592</v>
      </c>
      <c r="O210" s="774">
        <v>588</v>
      </c>
    </row>
    <row r="211" spans="1:15" x14ac:dyDescent="0.15">
      <c r="A211" s="318"/>
      <c r="B211" s="318"/>
      <c r="C211" s="318"/>
      <c r="D211" s="318"/>
      <c r="E211" s="318"/>
      <c r="F211" s="318"/>
      <c r="H211" s="746"/>
      <c r="I211" s="747"/>
      <c r="J211" s="747"/>
      <c r="M211" s="774">
        <v>24</v>
      </c>
      <c r="N211" s="774">
        <v>617</v>
      </c>
      <c r="O211" s="774">
        <v>586</v>
      </c>
    </row>
    <row r="212" spans="1:15" x14ac:dyDescent="0.15">
      <c r="B212" s="318"/>
      <c r="C212" s="318"/>
      <c r="D212" s="318"/>
      <c r="E212" s="318"/>
      <c r="F212" s="318"/>
      <c r="H212" s="746"/>
      <c r="I212" s="747"/>
      <c r="J212" s="747"/>
      <c r="M212" s="774">
        <v>25</v>
      </c>
      <c r="N212" s="774">
        <v>594</v>
      </c>
      <c r="O212" s="774">
        <v>601</v>
      </c>
    </row>
    <row r="213" spans="1:15" x14ac:dyDescent="0.15">
      <c r="B213" s="368" t="s">
        <v>677</v>
      </c>
      <c r="C213" s="318"/>
      <c r="D213" s="318"/>
      <c r="F213" s="318"/>
      <c r="H213" s="746"/>
      <c r="I213" s="747"/>
      <c r="J213" s="747"/>
      <c r="M213" s="774">
        <v>26</v>
      </c>
      <c r="N213" s="774">
        <v>601</v>
      </c>
      <c r="O213" s="774">
        <v>616</v>
      </c>
    </row>
    <row r="214" spans="1:15" x14ac:dyDescent="0.15">
      <c r="A214" s="318"/>
      <c r="B214" s="318"/>
      <c r="C214" s="318"/>
      <c r="D214" s="318"/>
      <c r="E214" s="367"/>
      <c r="F214" s="318"/>
      <c r="H214" s="746"/>
      <c r="I214" s="747"/>
      <c r="J214" s="747"/>
      <c r="M214" s="774">
        <v>27</v>
      </c>
      <c r="N214" s="774">
        <v>607</v>
      </c>
      <c r="O214" s="774">
        <v>648</v>
      </c>
    </row>
    <row r="215" spans="1:15" x14ac:dyDescent="0.15">
      <c r="A215" s="1107"/>
      <c r="B215" s="1107"/>
      <c r="C215" s="1107" t="s">
        <v>674</v>
      </c>
      <c r="D215" s="1107"/>
      <c r="F215" s="318"/>
      <c r="H215" s="746"/>
      <c r="I215" s="747"/>
      <c r="J215" s="747"/>
      <c r="M215" s="774">
        <v>28</v>
      </c>
      <c r="N215" s="774">
        <v>686</v>
      </c>
      <c r="O215" s="774">
        <v>669</v>
      </c>
    </row>
    <row r="216" spans="1:15" x14ac:dyDescent="0.15">
      <c r="A216" s="318"/>
      <c r="B216" s="318"/>
      <c r="C216" s="318"/>
      <c r="D216" s="318"/>
      <c r="E216" s="318"/>
      <c r="F216" s="318"/>
      <c r="H216" s="746"/>
      <c r="I216" s="747"/>
      <c r="J216" s="747"/>
      <c r="M216" s="774">
        <v>29</v>
      </c>
      <c r="N216" s="774">
        <v>712</v>
      </c>
      <c r="O216" s="774">
        <v>728</v>
      </c>
    </row>
    <row r="217" spans="1:15" x14ac:dyDescent="0.15">
      <c r="A217" s="318"/>
      <c r="B217" s="318"/>
      <c r="C217" s="318"/>
      <c r="D217" s="318"/>
      <c r="E217" s="318"/>
      <c r="F217" s="318"/>
      <c r="H217" s="746"/>
      <c r="I217" s="747"/>
      <c r="J217" s="747"/>
      <c r="M217" s="774">
        <v>30</v>
      </c>
      <c r="N217" s="774">
        <v>701</v>
      </c>
      <c r="O217" s="774">
        <v>754</v>
      </c>
    </row>
    <row r="218" spans="1:15" x14ac:dyDescent="0.15">
      <c r="A218" s="318"/>
      <c r="B218" s="318"/>
      <c r="C218" s="318"/>
      <c r="D218" s="318"/>
      <c r="E218" s="318"/>
      <c r="F218" s="318"/>
      <c r="H218" s="746"/>
      <c r="I218" s="747"/>
      <c r="J218" s="747"/>
      <c r="M218" s="774">
        <v>31</v>
      </c>
      <c r="N218" s="774">
        <v>710</v>
      </c>
      <c r="O218" s="774">
        <v>793</v>
      </c>
    </row>
    <row r="219" spans="1:15" x14ac:dyDescent="0.15">
      <c r="A219" s="318"/>
      <c r="B219" s="318"/>
      <c r="C219" s="318"/>
      <c r="D219" s="318"/>
      <c r="E219" s="318"/>
      <c r="F219" s="318"/>
      <c r="M219" s="774">
        <v>32</v>
      </c>
      <c r="N219" s="774">
        <v>748</v>
      </c>
      <c r="O219" s="774">
        <v>773</v>
      </c>
    </row>
    <row r="220" spans="1:15" x14ac:dyDescent="0.15">
      <c r="A220" s="318"/>
      <c r="B220" s="318"/>
      <c r="C220" s="318"/>
      <c r="D220" s="318"/>
      <c r="E220" s="318"/>
      <c r="F220" s="318"/>
      <c r="H220" s="745"/>
      <c r="M220" s="774">
        <v>33</v>
      </c>
      <c r="N220" s="774">
        <v>698</v>
      </c>
      <c r="O220" s="774">
        <v>746</v>
      </c>
    </row>
    <row r="221" spans="1:15" x14ac:dyDescent="0.15">
      <c r="A221" s="318"/>
      <c r="B221" s="318"/>
      <c r="C221" s="318"/>
      <c r="D221" s="318"/>
      <c r="E221" s="318"/>
      <c r="F221" s="318"/>
      <c r="H221" s="745"/>
      <c r="I221" s="746"/>
      <c r="J221" s="746"/>
      <c r="M221" s="774">
        <v>34</v>
      </c>
      <c r="N221" s="774">
        <v>711</v>
      </c>
      <c r="O221" s="774">
        <v>761</v>
      </c>
    </row>
    <row r="222" spans="1:15" x14ac:dyDescent="0.15">
      <c r="A222" s="318"/>
      <c r="B222" s="318"/>
      <c r="C222" s="318"/>
      <c r="D222" s="318"/>
      <c r="E222" s="318"/>
      <c r="F222" s="318"/>
      <c r="H222" s="745"/>
      <c r="I222" s="746"/>
      <c r="J222" s="748"/>
      <c r="M222" s="774">
        <v>35</v>
      </c>
      <c r="N222" s="774">
        <v>724</v>
      </c>
      <c r="O222" s="774">
        <v>779</v>
      </c>
    </row>
    <row r="223" spans="1:15" x14ac:dyDescent="0.15">
      <c r="A223" s="318"/>
      <c r="B223" s="318"/>
      <c r="C223" s="318"/>
      <c r="D223" s="318"/>
      <c r="E223" s="318"/>
      <c r="F223" s="318"/>
      <c r="H223" s="746"/>
      <c r="I223" s="749"/>
      <c r="J223" s="749"/>
      <c r="K223" s="746"/>
      <c r="M223" s="774">
        <v>36</v>
      </c>
      <c r="N223" s="774">
        <v>757</v>
      </c>
      <c r="O223" s="774">
        <v>806</v>
      </c>
    </row>
    <row r="224" spans="1:15" x14ac:dyDescent="0.15">
      <c r="H224" s="746"/>
      <c r="I224" s="749"/>
      <c r="J224" s="749"/>
      <c r="M224" s="774">
        <v>37</v>
      </c>
      <c r="N224" s="774">
        <v>783</v>
      </c>
      <c r="O224" s="774">
        <v>826</v>
      </c>
    </row>
    <row r="225" spans="8:15" x14ac:dyDescent="0.15">
      <c r="H225" s="746"/>
      <c r="I225" s="749"/>
      <c r="J225" s="749"/>
      <c r="M225" s="774">
        <v>38</v>
      </c>
      <c r="N225" s="774">
        <v>766</v>
      </c>
      <c r="O225" s="774">
        <v>836</v>
      </c>
    </row>
    <row r="226" spans="8:15" x14ac:dyDescent="0.15">
      <c r="H226" s="746"/>
      <c r="I226" s="749"/>
      <c r="J226" s="749"/>
      <c r="M226" s="774">
        <v>39</v>
      </c>
      <c r="N226" s="774">
        <v>806</v>
      </c>
      <c r="O226" s="774">
        <v>868</v>
      </c>
    </row>
    <row r="227" spans="8:15" x14ac:dyDescent="0.15">
      <c r="H227" s="746"/>
      <c r="I227" s="749"/>
      <c r="J227" s="749"/>
      <c r="M227" s="774">
        <v>40</v>
      </c>
      <c r="N227" s="774">
        <v>908</v>
      </c>
      <c r="O227" s="774">
        <v>906</v>
      </c>
    </row>
    <row r="228" spans="8:15" x14ac:dyDescent="0.15">
      <c r="H228" s="746"/>
      <c r="I228" s="749"/>
      <c r="M228" s="774">
        <v>41</v>
      </c>
      <c r="N228" s="774">
        <v>963</v>
      </c>
      <c r="O228" s="778">
        <v>1016</v>
      </c>
    </row>
    <row r="229" spans="8:15" x14ac:dyDescent="0.15">
      <c r="H229" s="746"/>
      <c r="I229" s="749"/>
      <c r="M229" s="774">
        <v>42</v>
      </c>
      <c r="N229" s="774">
        <v>927</v>
      </c>
      <c r="O229" s="774">
        <v>973</v>
      </c>
    </row>
    <row r="230" spans="8:15" x14ac:dyDescent="0.15">
      <c r="H230" s="746"/>
      <c r="I230" s="749"/>
      <c r="M230" s="774">
        <v>43</v>
      </c>
      <c r="N230" s="774">
        <v>881</v>
      </c>
      <c r="O230" s="774">
        <v>913</v>
      </c>
    </row>
    <row r="231" spans="8:15" x14ac:dyDescent="0.15">
      <c r="M231" s="774">
        <v>44</v>
      </c>
      <c r="N231" s="774">
        <v>854</v>
      </c>
      <c r="O231" s="774">
        <v>885</v>
      </c>
    </row>
    <row r="232" spans="8:15" x14ac:dyDescent="0.15">
      <c r="M232" s="774">
        <v>45</v>
      </c>
      <c r="N232" s="774">
        <v>799</v>
      </c>
      <c r="O232" s="774">
        <v>861</v>
      </c>
    </row>
    <row r="233" spans="8:15" x14ac:dyDescent="0.15">
      <c r="M233" s="774">
        <v>46</v>
      </c>
      <c r="N233" s="774">
        <v>836</v>
      </c>
      <c r="O233" s="774">
        <v>843</v>
      </c>
    </row>
    <row r="234" spans="8:15" x14ac:dyDescent="0.15">
      <c r="M234" s="774">
        <v>47</v>
      </c>
      <c r="N234" s="774">
        <v>813</v>
      </c>
      <c r="O234" s="774">
        <v>886</v>
      </c>
    </row>
    <row r="235" spans="8:15" x14ac:dyDescent="0.15">
      <c r="M235" s="774">
        <v>48</v>
      </c>
      <c r="N235" s="774">
        <v>806</v>
      </c>
      <c r="O235" s="774">
        <v>840</v>
      </c>
    </row>
    <row r="236" spans="8:15" x14ac:dyDescent="0.15">
      <c r="M236" s="774">
        <v>49</v>
      </c>
      <c r="N236" s="774">
        <v>624</v>
      </c>
      <c r="O236" s="774">
        <v>687</v>
      </c>
    </row>
    <row r="237" spans="8:15" x14ac:dyDescent="0.15">
      <c r="M237" s="774">
        <v>50</v>
      </c>
      <c r="N237" s="774">
        <v>700</v>
      </c>
      <c r="O237" s="774">
        <v>749</v>
      </c>
    </row>
    <row r="238" spans="8:15" x14ac:dyDescent="0.15">
      <c r="M238" s="774">
        <v>51</v>
      </c>
      <c r="N238" s="774">
        <v>713</v>
      </c>
      <c r="O238" s="774">
        <v>737</v>
      </c>
    </row>
    <row r="239" spans="8:15" x14ac:dyDescent="0.15">
      <c r="H239" s="1106"/>
      <c r="I239" s="1106"/>
      <c r="M239" s="774">
        <v>52</v>
      </c>
      <c r="N239" s="774">
        <v>703</v>
      </c>
      <c r="O239" s="774">
        <v>796</v>
      </c>
    </row>
    <row r="240" spans="8:15" x14ac:dyDescent="0.15">
      <c r="H240" s="746"/>
      <c r="I240" s="749"/>
      <c r="M240" s="774">
        <v>53</v>
      </c>
      <c r="N240" s="774">
        <v>629</v>
      </c>
      <c r="O240" s="774">
        <v>714</v>
      </c>
    </row>
    <row r="241" spans="8:15" x14ac:dyDescent="0.15">
      <c r="H241" s="746"/>
      <c r="I241" s="749"/>
      <c r="M241" s="774">
        <v>54</v>
      </c>
      <c r="N241" s="774">
        <v>718</v>
      </c>
      <c r="O241" s="774">
        <v>746</v>
      </c>
    </row>
    <row r="242" spans="8:15" x14ac:dyDescent="0.15">
      <c r="H242" s="746"/>
      <c r="I242" s="749"/>
      <c r="M242" s="774">
        <v>55</v>
      </c>
      <c r="N242" s="774">
        <v>675</v>
      </c>
      <c r="O242" s="774">
        <v>691</v>
      </c>
    </row>
    <row r="243" spans="8:15" x14ac:dyDescent="0.15">
      <c r="H243" s="746"/>
      <c r="I243" s="749"/>
      <c r="M243" s="774">
        <v>56</v>
      </c>
      <c r="N243" s="774">
        <v>691</v>
      </c>
      <c r="O243" s="774">
        <v>686</v>
      </c>
    </row>
    <row r="244" spans="8:15" x14ac:dyDescent="0.15">
      <c r="H244" s="746"/>
      <c r="I244" s="749"/>
      <c r="L244" s="764"/>
      <c r="M244" s="774">
        <v>57</v>
      </c>
      <c r="N244" s="774">
        <v>687</v>
      </c>
      <c r="O244" s="774">
        <v>647</v>
      </c>
    </row>
    <row r="245" spans="8:15" x14ac:dyDescent="0.15">
      <c r="M245" s="774">
        <v>58</v>
      </c>
      <c r="N245" s="774">
        <v>621</v>
      </c>
      <c r="O245" s="774">
        <v>675</v>
      </c>
    </row>
    <row r="246" spans="8:15" x14ac:dyDescent="0.15">
      <c r="M246" s="774">
        <v>59</v>
      </c>
      <c r="N246" s="774">
        <v>614</v>
      </c>
      <c r="O246" s="774">
        <v>639</v>
      </c>
    </row>
    <row r="247" spans="8:15" x14ac:dyDescent="0.15">
      <c r="M247" s="774">
        <v>60</v>
      </c>
      <c r="N247" s="774">
        <v>655</v>
      </c>
      <c r="O247" s="774">
        <v>697</v>
      </c>
    </row>
    <row r="248" spans="8:15" x14ac:dyDescent="0.15">
      <c r="M248" s="774">
        <v>61</v>
      </c>
      <c r="N248" s="774">
        <v>653</v>
      </c>
      <c r="O248" s="774">
        <v>733</v>
      </c>
    </row>
    <row r="249" spans="8:15" x14ac:dyDescent="0.15">
      <c r="M249" s="774">
        <v>62</v>
      </c>
      <c r="N249" s="774">
        <v>689</v>
      </c>
      <c r="O249" s="774">
        <v>706</v>
      </c>
    </row>
    <row r="250" spans="8:15" x14ac:dyDescent="0.15">
      <c r="M250" s="774">
        <v>63</v>
      </c>
      <c r="N250" s="774">
        <v>691</v>
      </c>
      <c r="O250" s="774">
        <v>756</v>
      </c>
    </row>
    <row r="251" spans="8:15" x14ac:dyDescent="0.15">
      <c r="M251" s="774">
        <v>64</v>
      </c>
      <c r="N251" s="774">
        <v>686</v>
      </c>
      <c r="O251" s="774">
        <v>759</v>
      </c>
    </row>
    <row r="252" spans="8:15" x14ac:dyDescent="0.15">
      <c r="M252" s="774">
        <v>65</v>
      </c>
      <c r="N252" s="774">
        <v>698</v>
      </c>
      <c r="O252" s="774">
        <v>733</v>
      </c>
    </row>
    <row r="253" spans="8:15" x14ac:dyDescent="0.15">
      <c r="M253" s="774">
        <v>66</v>
      </c>
      <c r="N253" s="774">
        <v>655</v>
      </c>
      <c r="O253" s="774">
        <v>671</v>
      </c>
    </row>
    <row r="254" spans="8:15" x14ac:dyDescent="0.15">
      <c r="M254" s="774">
        <v>67</v>
      </c>
      <c r="N254" s="774">
        <v>702</v>
      </c>
      <c r="O254" s="774">
        <v>721</v>
      </c>
    </row>
    <row r="255" spans="8:15" x14ac:dyDescent="0.15">
      <c r="M255" s="774">
        <v>68</v>
      </c>
      <c r="N255" s="774">
        <v>557</v>
      </c>
      <c r="O255" s="774">
        <v>564</v>
      </c>
    </row>
    <row r="256" spans="8:15" x14ac:dyDescent="0.15">
      <c r="M256" s="774">
        <v>69</v>
      </c>
      <c r="N256" s="774">
        <v>271</v>
      </c>
      <c r="O256" s="774">
        <v>291</v>
      </c>
    </row>
    <row r="257" spans="13:15" x14ac:dyDescent="0.15">
      <c r="M257" s="774">
        <v>70</v>
      </c>
      <c r="N257" s="774">
        <v>297</v>
      </c>
      <c r="O257" s="774">
        <v>338</v>
      </c>
    </row>
    <row r="258" spans="13:15" x14ac:dyDescent="0.15">
      <c r="M258" s="774">
        <v>71</v>
      </c>
      <c r="N258" s="774">
        <v>404</v>
      </c>
      <c r="O258" s="774">
        <v>453</v>
      </c>
    </row>
    <row r="259" spans="13:15" x14ac:dyDescent="0.15">
      <c r="M259" s="774">
        <v>72</v>
      </c>
      <c r="N259" s="774">
        <v>396</v>
      </c>
      <c r="O259" s="774">
        <v>455</v>
      </c>
    </row>
    <row r="260" spans="13:15" x14ac:dyDescent="0.15">
      <c r="M260" s="774">
        <v>73</v>
      </c>
      <c r="N260" s="774">
        <v>430</v>
      </c>
      <c r="O260" s="774">
        <v>474</v>
      </c>
    </row>
    <row r="261" spans="13:15" x14ac:dyDescent="0.15">
      <c r="M261" s="774">
        <v>74</v>
      </c>
      <c r="N261" s="774">
        <v>446</v>
      </c>
      <c r="O261" s="774">
        <v>504</v>
      </c>
    </row>
    <row r="262" spans="13:15" x14ac:dyDescent="0.15">
      <c r="M262" s="774">
        <v>75</v>
      </c>
      <c r="N262" s="774">
        <v>415</v>
      </c>
      <c r="O262" s="774">
        <v>476</v>
      </c>
    </row>
    <row r="263" spans="13:15" x14ac:dyDescent="0.15">
      <c r="M263" s="774">
        <v>76</v>
      </c>
      <c r="N263" s="774">
        <v>387</v>
      </c>
      <c r="O263" s="774">
        <v>446</v>
      </c>
    </row>
    <row r="264" spans="13:15" x14ac:dyDescent="0.15">
      <c r="M264" s="774">
        <v>77</v>
      </c>
      <c r="N264" s="774">
        <v>395</v>
      </c>
      <c r="O264" s="774">
        <v>429</v>
      </c>
    </row>
    <row r="265" spans="13:15" x14ac:dyDescent="0.15">
      <c r="M265" s="774">
        <v>78</v>
      </c>
      <c r="N265" s="774">
        <v>343</v>
      </c>
      <c r="O265" s="774">
        <v>430</v>
      </c>
    </row>
    <row r="266" spans="13:15" x14ac:dyDescent="0.15">
      <c r="M266" s="774">
        <v>79</v>
      </c>
      <c r="N266" s="774">
        <v>341</v>
      </c>
      <c r="O266" s="774">
        <v>440</v>
      </c>
    </row>
    <row r="267" spans="13:15" x14ac:dyDescent="0.15">
      <c r="M267" s="774">
        <v>80</v>
      </c>
      <c r="N267" s="774">
        <v>297</v>
      </c>
      <c r="O267" s="774">
        <v>373</v>
      </c>
    </row>
    <row r="268" spans="13:15" x14ac:dyDescent="0.15">
      <c r="M268" s="774">
        <v>81</v>
      </c>
      <c r="N268" s="774">
        <v>261</v>
      </c>
      <c r="O268" s="774">
        <v>407</v>
      </c>
    </row>
    <row r="269" spans="13:15" x14ac:dyDescent="0.15">
      <c r="M269" s="774">
        <v>82</v>
      </c>
      <c r="N269" s="774">
        <v>264</v>
      </c>
      <c r="O269" s="774">
        <v>321</v>
      </c>
    </row>
    <row r="270" spans="13:15" x14ac:dyDescent="0.15">
      <c r="M270" s="774">
        <v>83</v>
      </c>
      <c r="N270" s="774">
        <v>215</v>
      </c>
      <c r="O270" s="774">
        <v>312</v>
      </c>
    </row>
    <row r="271" spans="13:15" x14ac:dyDescent="0.15">
      <c r="M271" s="774">
        <v>84</v>
      </c>
      <c r="N271" s="774">
        <v>140</v>
      </c>
      <c r="O271" s="774">
        <v>259</v>
      </c>
    </row>
    <row r="272" spans="13:15" x14ac:dyDescent="0.15">
      <c r="M272" s="774">
        <v>85</v>
      </c>
      <c r="N272" s="774">
        <v>170</v>
      </c>
      <c r="O272" s="774">
        <v>238</v>
      </c>
    </row>
    <row r="273" spans="13:15" x14ac:dyDescent="0.15">
      <c r="M273" s="774">
        <v>86</v>
      </c>
      <c r="N273" s="774">
        <v>121</v>
      </c>
      <c r="O273" s="774">
        <v>234</v>
      </c>
    </row>
    <row r="274" spans="13:15" x14ac:dyDescent="0.15">
      <c r="M274" s="774">
        <v>87</v>
      </c>
      <c r="N274" s="774">
        <v>103</v>
      </c>
      <c r="O274" s="774">
        <v>218</v>
      </c>
    </row>
    <row r="275" spans="13:15" x14ac:dyDescent="0.15">
      <c r="M275" s="774">
        <v>88</v>
      </c>
      <c r="N275" s="774">
        <v>76</v>
      </c>
      <c r="O275" s="774">
        <v>169</v>
      </c>
    </row>
    <row r="276" spans="13:15" x14ac:dyDescent="0.15">
      <c r="M276" s="774">
        <v>89</v>
      </c>
      <c r="N276" s="774">
        <v>58</v>
      </c>
      <c r="O276" s="774">
        <v>178</v>
      </c>
    </row>
    <row r="277" spans="13:15" x14ac:dyDescent="0.15">
      <c r="M277" s="774">
        <v>90</v>
      </c>
      <c r="N277" s="774">
        <v>42</v>
      </c>
      <c r="O277" s="774">
        <v>129</v>
      </c>
    </row>
    <row r="278" spans="13:15" x14ac:dyDescent="0.15">
      <c r="M278" s="774">
        <v>91</v>
      </c>
      <c r="N278" s="774">
        <v>41</v>
      </c>
      <c r="O278" s="774">
        <v>103</v>
      </c>
    </row>
    <row r="279" spans="13:15" x14ac:dyDescent="0.15">
      <c r="M279" s="774">
        <v>92</v>
      </c>
      <c r="N279" s="774">
        <v>41</v>
      </c>
      <c r="O279" s="774">
        <v>104</v>
      </c>
    </row>
    <row r="280" spans="13:15" x14ac:dyDescent="0.15">
      <c r="M280" s="774">
        <v>93</v>
      </c>
      <c r="N280" s="774">
        <v>20</v>
      </c>
      <c r="O280" s="774">
        <v>83</v>
      </c>
    </row>
    <row r="281" spans="13:15" x14ac:dyDescent="0.15">
      <c r="M281" s="774">
        <v>94</v>
      </c>
      <c r="N281" s="774">
        <v>18</v>
      </c>
      <c r="O281" s="774">
        <v>60</v>
      </c>
    </row>
    <row r="282" spans="13:15" x14ac:dyDescent="0.15">
      <c r="M282" s="774">
        <v>95</v>
      </c>
      <c r="N282" s="774">
        <v>7</v>
      </c>
      <c r="O282" s="774">
        <v>54</v>
      </c>
    </row>
    <row r="283" spans="13:15" x14ac:dyDescent="0.15">
      <c r="M283" s="774">
        <v>96</v>
      </c>
      <c r="N283" s="774">
        <v>10</v>
      </c>
      <c r="O283" s="774">
        <v>56</v>
      </c>
    </row>
    <row r="284" spans="13:15" x14ac:dyDescent="0.15">
      <c r="M284" s="774">
        <v>97</v>
      </c>
      <c r="N284" s="774">
        <v>9</v>
      </c>
      <c r="O284" s="774">
        <v>23</v>
      </c>
    </row>
    <row r="285" spans="13:15" x14ac:dyDescent="0.15">
      <c r="M285" s="774">
        <v>98</v>
      </c>
      <c r="N285" s="774" t="s">
        <v>149</v>
      </c>
      <c r="O285" s="774">
        <v>26</v>
      </c>
    </row>
    <row r="286" spans="13:15" x14ac:dyDescent="0.15">
      <c r="M286" s="774">
        <v>99</v>
      </c>
      <c r="N286" s="774">
        <v>9</v>
      </c>
      <c r="O286" s="774">
        <v>27</v>
      </c>
    </row>
    <row r="287" spans="13:15" x14ac:dyDescent="0.15">
      <c r="M287" s="774" t="s">
        <v>14</v>
      </c>
      <c r="N287" s="774">
        <v>10</v>
      </c>
      <c r="O287" s="774">
        <v>28</v>
      </c>
    </row>
    <row r="289" spans="13:21" x14ac:dyDescent="0.15">
      <c r="N289" s="740">
        <f>SUM(N187:N288)</f>
        <v>54844</v>
      </c>
      <c r="O289" s="740">
        <f>SUM(O187:O288)</f>
        <v>58168</v>
      </c>
      <c r="P289" s="740">
        <f>N289+O289</f>
        <v>113012</v>
      </c>
      <c r="S289" s="321"/>
      <c r="T289" s="321"/>
      <c r="U289" s="321"/>
    </row>
    <row r="290" spans="13:21" x14ac:dyDescent="0.15">
      <c r="M290" s="740" t="s">
        <v>673</v>
      </c>
      <c r="N290" s="774">
        <v>627</v>
      </c>
      <c r="O290" s="774">
        <v>593</v>
      </c>
      <c r="P290" s="740">
        <f>N290+O290</f>
        <v>1220</v>
      </c>
      <c r="Q290" s="740" t="s">
        <v>676</v>
      </c>
      <c r="S290" s="321"/>
      <c r="T290" s="321"/>
    </row>
    <row r="291" spans="13:21" x14ac:dyDescent="0.15">
      <c r="S291" s="321"/>
      <c r="T291" s="321"/>
    </row>
    <row r="292" spans="13:21" x14ac:dyDescent="0.15">
      <c r="M292" s="740" t="s">
        <v>669</v>
      </c>
      <c r="N292" s="740">
        <f>SUM(N289:N290)</f>
        <v>55471</v>
      </c>
      <c r="O292" s="740">
        <f>SUM(O289:O290)</f>
        <v>58761</v>
      </c>
      <c r="P292" s="740">
        <f>SUM(P289:P290)</f>
        <v>114232</v>
      </c>
      <c r="S292" s="321"/>
      <c r="T292" s="321"/>
    </row>
    <row r="293" spans="13:21" x14ac:dyDescent="0.15">
      <c r="S293" s="321"/>
      <c r="T293" s="321"/>
    </row>
    <row r="294" spans="13:21" x14ac:dyDescent="0.15">
      <c r="M294" s="740" t="s">
        <v>675</v>
      </c>
      <c r="S294" s="321"/>
      <c r="T294" s="321"/>
    </row>
    <row r="295" spans="13:21" x14ac:dyDescent="0.15">
      <c r="S295" s="321"/>
      <c r="T295" s="321"/>
    </row>
  </sheetData>
  <sheetProtection sheet="1" objects="1" scenarios="1"/>
  <mergeCells count="19">
    <mergeCell ref="J17:K17"/>
    <mergeCell ref="J18:K18"/>
    <mergeCell ref="J19:K19"/>
    <mergeCell ref="J20:K20"/>
    <mergeCell ref="J21:K21"/>
    <mergeCell ref="J22:K22"/>
    <mergeCell ref="J28:K28"/>
    <mergeCell ref="J29:K29"/>
    <mergeCell ref="J207:J208"/>
    <mergeCell ref="J27:K27"/>
    <mergeCell ref="J24:K24"/>
    <mergeCell ref="J25:K25"/>
    <mergeCell ref="J23:K23"/>
    <mergeCell ref="J26:K26"/>
    <mergeCell ref="H239:I239"/>
    <mergeCell ref="A215:B215"/>
    <mergeCell ref="I207:I208"/>
    <mergeCell ref="A187:B187"/>
    <mergeCell ref="C215:D215"/>
  </mergeCells>
  <phoneticPr fontId="18"/>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9"/>
  <sheetViews>
    <sheetView view="pageBreakPreview" zoomScale="85" zoomScaleNormal="120" zoomScaleSheetLayoutView="85" workbookViewId="0">
      <pane ySplit="6" topLeftCell="A19" activePane="bottomLeft" state="frozen"/>
      <selection activeCell="K250" sqref="K250"/>
      <selection pane="bottomLeft" activeCell="K250" sqref="K250"/>
    </sheetView>
  </sheetViews>
  <sheetFormatPr defaultRowHeight="17.100000000000001" customHeight="1" x14ac:dyDescent="0.15"/>
  <cols>
    <col min="1" max="1" width="11.875" style="114" customWidth="1"/>
    <col min="2" max="4" width="11.25" style="614" customWidth="1"/>
    <col min="5" max="5" width="11.875" style="114" customWidth="1"/>
    <col min="6" max="8" width="11.25" style="614" customWidth="1"/>
    <col min="9" max="9" width="11.875" style="618" customWidth="1"/>
    <col min="10" max="12" width="11.25" style="618" customWidth="1"/>
    <col min="13" max="13" width="11.875" style="618" customWidth="1"/>
    <col min="14" max="16" width="11.25" style="618" customWidth="1"/>
    <col min="17" max="16384" width="9" style="614"/>
  </cols>
  <sheetData>
    <row r="1" spans="1:16" ht="5.0999999999999996" customHeight="1" x14ac:dyDescent="0.15">
      <c r="A1" s="13"/>
      <c r="B1" s="613"/>
      <c r="C1" s="613"/>
      <c r="D1" s="613"/>
      <c r="E1" s="13"/>
      <c r="G1" s="613"/>
      <c r="H1" s="14"/>
      <c r="I1" s="520" t="s">
        <v>30</v>
      </c>
      <c r="J1" s="617"/>
      <c r="K1" s="617"/>
      <c r="L1" s="617"/>
      <c r="M1" s="520"/>
      <c r="O1" s="617"/>
      <c r="P1" s="585"/>
    </row>
    <row r="2" spans="1:16" ht="15" customHeight="1" thickBot="1" x14ac:dyDescent="0.2">
      <c r="A2" s="13" t="s">
        <v>681</v>
      </c>
      <c r="B2" s="613"/>
      <c r="C2" s="613"/>
      <c r="D2" s="613"/>
      <c r="E2" s="13"/>
      <c r="G2" s="613"/>
      <c r="H2" s="14"/>
      <c r="I2" s="621"/>
      <c r="J2" s="630"/>
      <c r="K2" s="630"/>
      <c r="L2" s="630"/>
      <c r="M2" s="621"/>
      <c r="N2" s="631"/>
      <c r="O2" s="630"/>
      <c r="P2" s="632" t="s">
        <v>31</v>
      </c>
    </row>
    <row r="3" spans="1:16" ht="24" customHeight="1" x14ac:dyDescent="0.15">
      <c r="A3" s="589" t="s">
        <v>32</v>
      </c>
      <c r="B3" s="586" t="s">
        <v>33</v>
      </c>
      <c r="C3" s="586" t="s">
        <v>21</v>
      </c>
      <c r="D3" s="582" t="s">
        <v>22</v>
      </c>
      <c r="E3" s="586" t="s">
        <v>32</v>
      </c>
      <c r="F3" s="586" t="s">
        <v>33</v>
      </c>
      <c r="G3" s="586" t="s">
        <v>21</v>
      </c>
      <c r="H3" s="635" t="s">
        <v>22</v>
      </c>
      <c r="I3" s="633" t="s">
        <v>32</v>
      </c>
      <c r="J3" s="633" t="s">
        <v>33</v>
      </c>
      <c r="K3" s="633" t="s">
        <v>21</v>
      </c>
      <c r="L3" s="633" t="s">
        <v>22</v>
      </c>
      <c r="M3" s="633" t="s">
        <v>32</v>
      </c>
      <c r="N3" s="633" t="s">
        <v>33</v>
      </c>
      <c r="O3" s="633" t="s">
        <v>21</v>
      </c>
      <c r="P3" s="633" t="s">
        <v>22</v>
      </c>
    </row>
    <row r="4" spans="1:16" ht="7.5" customHeight="1" x14ac:dyDescent="0.15">
      <c r="A4" s="211"/>
      <c r="B4" s="584"/>
      <c r="C4" s="224"/>
      <c r="D4" s="602"/>
      <c r="E4" s="601"/>
      <c r="F4" s="584"/>
      <c r="G4" s="224"/>
      <c r="H4" s="636"/>
      <c r="I4" s="633"/>
      <c r="J4" s="633"/>
      <c r="K4" s="633"/>
      <c r="L4" s="633"/>
      <c r="M4" s="633"/>
      <c r="N4" s="633"/>
      <c r="O4" s="633"/>
      <c r="P4" s="633"/>
    </row>
    <row r="5" spans="1:16" ht="16.5" customHeight="1" x14ac:dyDescent="0.15">
      <c r="A5" s="213" t="s">
        <v>34</v>
      </c>
      <c r="B5" s="524">
        <f>SUM(C5:D5)</f>
        <v>114372</v>
      </c>
      <c r="C5" s="595">
        <f>C$12+C$19+C$26+C$33+C$40+C$47+G$12+G$19+G$26+G$33+G$40+G$47+K$12+K$19+K$26+K$33+K$40+K$47+O$12+O$19+O$26+O$28</f>
        <v>55782</v>
      </c>
      <c r="D5" s="595">
        <f>D$12+D$19+D$26+D$33+D$40+D$47+H$12+H$19+H$26+H$33+H$40+H$47+L$12+L$19+L$26+L$33+L$40+L$47+P$12+P$19+P$26+P$28</f>
        <v>58590</v>
      </c>
      <c r="E5" s="16"/>
      <c r="F5" s="16"/>
      <c r="G5" s="520"/>
      <c r="H5" s="637"/>
      <c r="I5" s="621"/>
      <c r="J5" s="621"/>
      <c r="K5" s="621"/>
      <c r="L5" s="621"/>
      <c r="M5" s="621"/>
      <c r="N5" s="621"/>
      <c r="O5" s="621"/>
      <c r="P5" s="621"/>
    </row>
    <row r="6" spans="1:16" ht="16.5" customHeight="1" x14ac:dyDescent="0.15">
      <c r="A6" s="212"/>
      <c r="B6" s="18"/>
      <c r="C6" s="593"/>
      <c r="D6" s="526"/>
      <c r="E6" s="16"/>
      <c r="F6" s="16"/>
      <c r="G6" s="520"/>
      <c r="H6" s="637"/>
      <c r="I6" s="621"/>
      <c r="J6" s="621"/>
      <c r="K6" s="621"/>
      <c r="L6" s="621"/>
      <c r="M6" s="621"/>
      <c r="N6" s="621"/>
      <c r="O6" s="621"/>
      <c r="P6" s="621"/>
    </row>
    <row r="7" spans="1:16" ht="16.5" customHeight="1" x14ac:dyDescent="0.15">
      <c r="A7" s="214" t="s">
        <v>35</v>
      </c>
      <c r="B7" s="18">
        <f>SUM(C7:D7)</f>
        <v>1255</v>
      </c>
      <c r="C7" s="593">
        <v>643</v>
      </c>
      <c r="D7" s="526">
        <v>612</v>
      </c>
      <c r="E7" s="601">
        <v>30</v>
      </c>
      <c r="F7" s="18">
        <f>SUM(G7:H7)</f>
        <v>1325</v>
      </c>
      <c r="G7" s="593">
        <v>663</v>
      </c>
      <c r="H7" s="440">
        <v>662</v>
      </c>
      <c r="I7" s="633">
        <v>60</v>
      </c>
      <c r="J7" s="622">
        <f>K7+L7</f>
        <v>1242</v>
      </c>
      <c r="K7" s="622">
        <v>634</v>
      </c>
      <c r="L7" s="622">
        <v>608</v>
      </c>
      <c r="M7" s="633">
        <v>90</v>
      </c>
      <c r="N7" s="622">
        <f>O7+P7</f>
        <v>209</v>
      </c>
      <c r="O7" s="622">
        <v>57</v>
      </c>
      <c r="P7" s="622">
        <v>152</v>
      </c>
    </row>
    <row r="8" spans="1:16" ht="16.5" customHeight="1" x14ac:dyDescent="0.15">
      <c r="A8" s="214" t="s">
        <v>36</v>
      </c>
      <c r="B8" s="18">
        <f t="shared" ref="B8:B11" si="0">SUM(C8:D8)</f>
        <v>1326</v>
      </c>
      <c r="C8" s="593">
        <v>665</v>
      </c>
      <c r="D8" s="526">
        <v>661</v>
      </c>
      <c r="E8" s="601">
        <v>31</v>
      </c>
      <c r="F8" s="18">
        <f t="shared" ref="F8:F11" si="1">SUM(G8:H8)</f>
        <v>1496</v>
      </c>
      <c r="G8" s="593">
        <v>749</v>
      </c>
      <c r="H8" s="440">
        <v>747</v>
      </c>
      <c r="I8" s="633">
        <v>61</v>
      </c>
      <c r="J8" s="622">
        <f>K8+L8</f>
        <v>1271</v>
      </c>
      <c r="K8" s="622">
        <v>611</v>
      </c>
      <c r="L8" s="622">
        <v>660</v>
      </c>
      <c r="M8" s="633">
        <v>91</v>
      </c>
      <c r="N8" s="622">
        <f>O8+P8</f>
        <v>161</v>
      </c>
      <c r="O8" s="622">
        <v>39</v>
      </c>
      <c r="P8" s="622">
        <v>122</v>
      </c>
    </row>
    <row r="9" spans="1:16" ht="16.5" customHeight="1" x14ac:dyDescent="0.15">
      <c r="A9" s="214" t="s">
        <v>37</v>
      </c>
      <c r="B9" s="18">
        <f t="shared" si="0"/>
        <v>1338</v>
      </c>
      <c r="C9" s="593">
        <v>672</v>
      </c>
      <c r="D9" s="526">
        <v>666</v>
      </c>
      <c r="E9" s="601">
        <v>32</v>
      </c>
      <c r="F9" s="18">
        <f t="shared" si="1"/>
        <v>1484</v>
      </c>
      <c r="G9" s="593">
        <v>708</v>
      </c>
      <c r="H9" s="440">
        <v>776</v>
      </c>
      <c r="I9" s="633">
        <v>62</v>
      </c>
      <c r="J9" s="622">
        <f>K9+L9</f>
        <v>1319</v>
      </c>
      <c r="K9" s="622">
        <v>642</v>
      </c>
      <c r="L9" s="622">
        <v>677</v>
      </c>
      <c r="M9" s="633">
        <v>92</v>
      </c>
      <c r="N9" s="622">
        <f>O9+P9</f>
        <v>143</v>
      </c>
      <c r="O9" s="622">
        <v>28</v>
      </c>
      <c r="P9" s="622">
        <v>115</v>
      </c>
    </row>
    <row r="10" spans="1:16" ht="16.5" customHeight="1" x14ac:dyDescent="0.15">
      <c r="A10" s="214" t="s">
        <v>38</v>
      </c>
      <c r="B10" s="18">
        <f t="shared" si="0"/>
        <v>1303</v>
      </c>
      <c r="C10" s="593">
        <v>663</v>
      </c>
      <c r="D10" s="526">
        <v>640</v>
      </c>
      <c r="E10" s="601">
        <v>33</v>
      </c>
      <c r="F10" s="18">
        <f t="shared" si="1"/>
        <v>1548</v>
      </c>
      <c r="G10" s="593">
        <v>762</v>
      </c>
      <c r="H10" s="440">
        <v>786</v>
      </c>
      <c r="I10" s="633">
        <v>63</v>
      </c>
      <c r="J10" s="622">
        <f>K10+L10</f>
        <v>1359</v>
      </c>
      <c r="K10" s="622">
        <v>637</v>
      </c>
      <c r="L10" s="622">
        <v>722</v>
      </c>
      <c r="M10" s="633">
        <v>93</v>
      </c>
      <c r="N10" s="622">
        <f>O10+P10</f>
        <v>104</v>
      </c>
      <c r="O10" s="622">
        <v>27</v>
      </c>
      <c r="P10" s="622">
        <v>77</v>
      </c>
    </row>
    <row r="11" spans="1:16" ht="16.5" customHeight="1" x14ac:dyDescent="0.15">
      <c r="A11" s="214" t="s">
        <v>39</v>
      </c>
      <c r="B11" s="18">
        <f t="shared" si="0"/>
        <v>1344</v>
      </c>
      <c r="C11" s="593">
        <v>688</v>
      </c>
      <c r="D11" s="526">
        <v>656</v>
      </c>
      <c r="E11" s="601">
        <v>34</v>
      </c>
      <c r="F11" s="18">
        <f t="shared" si="1"/>
        <v>1466</v>
      </c>
      <c r="G11" s="593">
        <v>735</v>
      </c>
      <c r="H11" s="440">
        <v>731</v>
      </c>
      <c r="I11" s="633">
        <v>64</v>
      </c>
      <c r="J11" s="622">
        <f>K11+L11</f>
        <v>1369</v>
      </c>
      <c r="K11" s="622">
        <v>661</v>
      </c>
      <c r="L11" s="622">
        <v>708</v>
      </c>
      <c r="M11" s="633">
        <v>94</v>
      </c>
      <c r="N11" s="622">
        <f>O11+P11</f>
        <v>95</v>
      </c>
      <c r="O11" s="622">
        <v>27</v>
      </c>
      <c r="P11" s="622">
        <v>68</v>
      </c>
    </row>
    <row r="12" spans="1:16" ht="16.5" customHeight="1" x14ac:dyDescent="0.15">
      <c r="A12" s="215" t="s">
        <v>40</v>
      </c>
      <c r="B12" s="524">
        <f>SUM(B7:B11)</f>
        <v>6566</v>
      </c>
      <c r="C12" s="595">
        <f>SUM(C7:C11)</f>
        <v>3331</v>
      </c>
      <c r="D12" s="595">
        <f>SUM(D7:D11)</f>
        <v>3235</v>
      </c>
      <c r="E12" s="15" t="s">
        <v>41</v>
      </c>
      <c r="F12" s="524">
        <f>SUM(F7:F11)</f>
        <v>7319</v>
      </c>
      <c r="G12" s="595">
        <f>SUM(G7:G11)</f>
        <v>3617</v>
      </c>
      <c r="H12" s="441">
        <f>SUM(H7:H11)</f>
        <v>3702</v>
      </c>
      <c r="I12" s="634" t="s">
        <v>42</v>
      </c>
      <c r="J12" s="623">
        <f>SUM(J7:J11)</f>
        <v>6560</v>
      </c>
      <c r="K12" s="623">
        <f>SUM(K7:K11)</f>
        <v>3185</v>
      </c>
      <c r="L12" s="623">
        <f>SUM(L7:L11)</f>
        <v>3375</v>
      </c>
      <c r="M12" s="634" t="s">
        <v>43</v>
      </c>
      <c r="N12" s="623">
        <f>SUM(N7:N11)</f>
        <v>712</v>
      </c>
      <c r="O12" s="623">
        <f>SUM(O7:O11)</f>
        <v>178</v>
      </c>
      <c r="P12" s="623">
        <f>SUM(P7:P11)</f>
        <v>534</v>
      </c>
    </row>
    <row r="13" spans="1:16" ht="16.5" customHeight="1" x14ac:dyDescent="0.15">
      <c r="A13" s="216"/>
      <c r="B13" s="18"/>
      <c r="C13" s="593"/>
      <c r="D13" s="526"/>
      <c r="E13" s="16"/>
      <c r="F13" s="18"/>
      <c r="G13" s="593"/>
      <c r="H13" s="440"/>
      <c r="I13" s="621"/>
      <c r="J13" s="622"/>
      <c r="K13" s="622"/>
      <c r="L13" s="622"/>
      <c r="M13" s="621"/>
      <c r="N13" s="622"/>
      <c r="O13" s="622"/>
      <c r="P13" s="622"/>
    </row>
    <row r="14" spans="1:16" ht="16.5" customHeight="1" x14ac:dyDescent="0.15">
      <c r="A14" s="214" t="s">
        <v>44</v>
      </c>
      <c r="B14" s="18">
        <f>SUM(C14:D14)</f>
        <v>1432</v>
      </c>
      <c r="C14" s="593">
        <v>719</v>
      </c>
      <c r="D14" s="526">
        <v>713</v>
      </c>
      <c r="E14" s="601">
        <v>35</v>
      </c>
      <c r="F14" s="18">
        <f>SUM(G14:H14)</f>
        <v>1460</v>
      </c>
      <c r="G14" s="593">
        <v>720</v>
      </c>
      <c r="H14" s="440">
        <v>740</v>
      </c>
      <c r="I14" s="633">
        <v>65</v>
      </c>
      <c r="J14" s="622">
        <f>K14+L14</f>
        <v>1415</v>
      </c>
      <c r="K14" s="622">
        <v>687</v>
      </c>
      <c r="L14" s="622">
        <v>728</v>
      </c>
      <c r="M14" s="633">
        <v>95</v>
      </c>
      <c r="N14" s="622">
        <f>O14+P14</f>
        <v>83</v>
      </c>
      <c r="O14" s="622">
        <v>18</v>
      </c>
      <c r="P14" s="622">
        <v>65</v>
      </c>
    </row>
    <row r="15" spans="1:16" ht="16.5" customHeight="1" x14ac:dyDescent="0.15">
      <c r="A15" s="214" t="s">
        <v>45</v>
      </c>
      <c r="B15" s="18">
        <f t="shared" ref="B15:B18" si="2">SUM(C15:D15)</f>
        <v>1413</v>
      </c>
      <c r="C15" s="593">
        <v>702</v>
      </c>
      <c r="D15" s="526">
        <v>711</v>
      </c>
      <c r="E15" s="601">
        <v>36</v>
      </c>
      <c r="F15" s="18">
        <f t="shared" ref="F15:F18" si="3">SUM(G15:H15)</f>
        <v>1470</v>
      </c>
      <c r="G15" s="593">
        <v>695</v>
      </c>
      <c r="H15" s="440">
        <v>775</v>
      </c>
      <c r="I15" s="633">
        <v>66</v>
      </c>
      <c r="J15" s="622">
        <f>K15+L15</f>
        <v>1451</v>
      </c>
      <c r="K15" s="622">
        <v>656</v>
      </c>
      <c r="L15" s="622">
        <v>795</v>
      </c>
      <c r="M15" s="633">
        <v>96</v>
      </c>
      <c r="N15" s="622">
        <f>O15+P15</f>
        <v>49</v>
      </c>
      <c r="O15" s="622">
        <v>10</v>
      </c>
      <c r="P15" s="622">
        <v>39</v>
      </c>
    </row>
    <row r="16" spans="1:16" ht="16.5" customHeight="1" x14ac:dyDescent="0.15">
      <c r="A16" s="214" t="s">
        <v>46</v>
      </c>
      <c r="B16" s="18">
        <f t="shared" si="2"/>
        <v>1350</v>
      </c>
      <c r="C16" s="593">
        <v>682</v>
      </c>
      <c r="D16" s="526">
        <v>668</v>
      </c>
      <c r="E16" s="601">
        <v>37</v>
      </c>
      <c r="F16" s="18">
        <f t="shared" si="3"/>
        <v>1507</v>
      </c>
      <c r="G16" s="593">
        <v>721</v>
      </c>
      <c r="H16" s="440">
        <v>786</v>
      </c>
      <c r="I16" s="633">
        <v>67</v>
      </c>
      <c r="J16" s="622">
        <f>K16+L16</f>
        <v>1407</v>
      </c>
      <c r="K16" s="622">
        <v>703</v>
      </c>
      <c r="L16" s="622">
        <v>704</v>
      </c>
      <c r="M16" s="633">
        <v>97</v>
      </c>
      <c r="N16" s="622">
        <f>O16+P16</f>
        <v>37</v>
      </c>
      <c r="O16" s="622">
        <v>5</v>
      </c>
      <c r="P16" s="622">
        <v>32</v>
      </c>
    </row>
    <row r="17" spans="1:16" ht="16.5" customHeight="1" x14ac:dyDescent="0.15">
      <c r="A17" s="214" t="s">
        <v>47</v>
      </c>
      <c r="B17" s="18">
        <f t="shared" si="2"/>
        <v>1376</v>
      </c>
      <c r="C17" s="593">
        <v>722</v>
      </c>
      <c r="D17" s="526">
        <v>654</v>
      </c>
      <c r="E17" s="601">
        <v>38</v>
      </c>
      <c r="F17" s="18">
        <f t="shared" si="3"/>
        <v>1532</v>
      </c>
      <c r="G17" s="593">
        <v>740</v>
      </c>
      <c r="H17" s="440">
        <v>792</v>
      </c>
      <c r="I17" s="633">
        <v>68</v>
      </c>
      <c r="J17" s="622">
        <f>K17+L17</f>
        <v>1315</v>
      </c>
      <c r="K17" s="622">
        <v>647</v>
      </c>
      <c r="L17" s="622">
        <v>668</v>
      </c>
      <c r="M17" s="633">
        <v>98</v>
      </c>
      <c r="N17" s="622">
        <f>O17+P17</f>
        <v>42</v>
      </c>
      <c r="O17" s="622">
        <v>8</v>
      </c>
      <c r="P17" s="622">
        <v>34</v>
      </c>
    </row>
    <row r="18" spans="1:16" ht="16.5" customHeight="1" x14ac:dyDescent="0.15">
      <c r="A18" s="214" t="s">
        <v>48</v>
      </c>
      <c r="B18" s="18">
        <f t="shared" si="2"/>
        <v>1407</v>
      </c>
      <c r="C18" s="593">
        <v>692</v>
      </c>
      <c r="D18" s="526">
        <v>715</v>
      </c>
      <c r="E18" s="601">
        <v>39</v>
      </c>
      <c r="F18" s="18">
        <f t="shared" si="3"/>
        <v>1646</v>
      </c>
      <c r="G18" s="593">
        <v>823</v>
      </c>
      <c r="H18" s="440">
        <v>823</v>
      </c>
      <c r="I18" s="633">
        <v>69</v>
      </c>
      <c r="J18" s="622">
        <f>K18+L18</f>
        <v>1322</v>
      </c>
      <c r="K18" s="622">
        <v>644</v>
      </c>
      <c r="L18" s="622">
        <v>678</v>
      </c>
      <c r="M18" s="633">
        <v>99</v>
      </c>
      <c r="N18" s="622">
        <f>O18+P18</f>
        <v>19</v>
      </c>
      <c r="O18" s="622">
        <v>3</v>
      </c>
      <c r="P18" s="622">
        <v>16</v>
      </c>
    </row>
    <row r="19" spans="1:16" ht="16.5" customHeight="1" x14ac:dyDescent="0.15">
      <c r="A19" s="215" t="s">
        <v>49</v>
      </c>
      <c r="B19" s="524">
        <f>SUM(B14:B18)</f>
        <v>6978</v>
      </c>
      <c r="C19" s="595">
        <f>SUM(C14:C18)</f>
        <v>3517</v>
      </c>
      <c r="D19" s="595">
        <f>SUM(D14:D18)</f>
        <v>3461</v>
      </c>
      <c r="E19" s="15" t="s">
        <v>50</v>
      </c>
      <c r="F19" s="524">
        <f>SUM(F14:F18)</f>
        <v>7615</v>
      </c>
      <c r="G19" s="595">
        <f>SUM(G14:G18)</f>
        <v>3699</v>
      </c>
      <c r="H19" s="441">
        <f>SUM(H14:H18)</f>
        <v>3916</v>
      </c>
      <c r="I19" s="634" t="s">
        <v>51</v>
      </c>
      <c r="J19" s="623">
        <f>SUM(J14:J18)</f>
        <v>6910</v>
      </c>
      <c r="K19" s="623">
        <f>SUM(K14:K18)</f>
        <v>3337</v>
      </c>
      <c r="L19" s="623">
        <f>SUM(L14:L18)</f>
        <v>3573</v>
      </c>
      <c r="M19" s="634" t="s">
        <v>52</v>
      </c>
      <c r="N19" s="623">
        <f>SUM(N14:N18)</f>
        <v>230</v>
      </c>
      <c r="O19" s="623">
        <f>SUM(O14:O18)</f>
        <v>44</v>
      </c>
      <c r="P19" s="623">
        <f>SUM(P14:P18)</f>
        <v>186</v>
      </c>
    </row>
    <row r="20" spans="1:16" ht="16.5" customHeight="1" x14ac:dyDescent="0.15">
      <c r="A20" s="212"/>
      <c r="B20" s="18"/>
      <c r="C20" s="593"/>
      <c r="D20" s="526"/>
      <c r="E20" s="16"/>
      <c r="F20" s="18"/>
      <c r="G20" s="593"/>
      <c r="H20" s="440"/>
      <c r="I20" s="621"/>
      <c r="J20" s="622"/>
      <c r="K20" s="622"/>
      <c r="L20" s="622"/>
      <c r="M20" s="621"/>
      <c r="N20" s="622"/>
      <c r="O20" s="622"/>
      <c r="P20" s="622"/>
    </row>
    <row r="21" spans="1:16" ht="16.5" customHeight="1" x14ac:dyDescent="0.15">
      <c r="A21" s="211">
        <v>10</v>
      </c>
      <c r="B21" s="18">
        <f>SUM(C21:D21)</f>
        <v>1403</v>
      </c>
      <c r="C21" s="593">
        <v>724</v>
      </c>
      <c r="D21" s="526">
        <v>679</v>
      </c>
      <c r="E21" s="601">
        <v>40</v>
      </c>
      <c r="F21" s="18">
        <f>SUM(G21:H21)</f>
        <v>1595</v>
      </c>
      <c r="G21" s="593">
        <v>771</v>
      </c>
      <c r="H21" s="440">
        <v>824</v>
      </c>
      <c r="I21" s="633">
        <v>70</v>
      </c>
      <c r="J21" s="622">
        <f>K21+L21</f>
        <v>1257</v>
      </c>
      <c r="K21" s="622">
        <v>610</v>
      </c>
      <c r="L21" s="622">
        <v>647</v>
      </c>
      <c r="M21" s="633">
        <v>100</v>
      </c>
      <c r="N21" s="622">
        <f>O21+P21</f>
        <v>24</v>
      </c>
      <c r="O21" s="622">
        <v>1</v>
      </c>
      <c r="P21" s="622">
        <v>23</v>
      </c>
    </row>
    <row r="22" spans="1:16" ht="16.5" customHeight="1" x14ac:dyDescent="0.15">
      <c r="A22" s="211">
        <v>11</v>
      </c>
      <c r="B22" s="18">
        <f t="shared" ref="B22:B25" si="4">SUM(C22:D22)</f>
        <v>1447</v>
      </c>
      <c r="C22" s="593">
        <v>740</v>
      </c>
      <c r="D22" s="526">
        <v>707</v>
      </c>
      <c r="E22" s="601">
        <v>41</v>
      </c>
      <c r="F22" s="18">
        <f t="shared" ref="F22:F25" si="5">SUM(G22:H22)</f>
        <v>1667</v>
      </c>
      <c r="G22" s="593">
        <v>827</v>
      </c>
      <c r="H22" s="440">
        <v>840</v>
      </c>
      <c r="I22" s="633">
        <v>71</v>
      </c>
      <c r="J22" s="622">
        <f>K22+L22</f>
        <v>598</v>
      </c>
      <c r="K22" s="622">
        <v>287</v>
      </c>
      <c r="L22" s="622">
        <v>311</v>
      </c>
      <c r="M22" s="633">
        <v>101</v>
      </c>
      <c r="N22" s="622">
        <f>O22+P22</f>
        <v>18</v>
      </c>
      <c r="O22" s="622">
        <v>2</v>
      </c>
      <c r="P22" s="622">
        <v>16</v>
      </c>
    </row>
    <row r="23" spans="1:16" ht="16.5" customHeight="1" x14ac:dyDescent="0.15">
      <c r="A23" s="211">
        <v>12</v>
      </c>
      <c r="B23" s="18">
        <f t="shared" si="4"/>
        <v>1295</v>
      </c>
      <c r="C23" s="593">
        <v>666</v>
      </c>
      <c r="D23" s="526">
        <v>629</v>
      </c>
      <c r="E23" s="601">
        <v>42</v>
      </c>
      <c r="F23" s="18">
        <f t="shared" si="5"/>
        <v>1766</v>
      </c>
      <c r="G23" s="593">
        <v>882</v>
      </c>
      <c r="H23" s="440">
        <v>884</v>
      </c>
      <c r="I23" s="633">
        <v>72</v>
      </c>
      <c r="J23" s="622">
        <f>K23+L23</f>
        <v>557</v>
      </c>
      <c r="K23" s="622">
        <v>264</v>
      </c>
      <c r="L23" s="622">
        <v>293</v>
      </c>
      <c r="M23" s="633">
        <v>102</v>
      </c>
      <c r="N23" s="622">
        <f>O23+P23</f>
        <v>6</v>
      </c>
      <c r="O23" s="622">
        <v>1</v>
      </c>
      <c r="P23" s="622">
        <v>5</v>
      </c>
    </row>
    <row r="24" spans="1:16" ht="16.5" customHeight="1" x14ac:dyDescent="0.15">
      <c r="A24" s="211">
        <v>13</v>
      </c>
      <c r="B24" s="18">
        <f t="shared" si="4"/>
        <v>1381</v>
      </c>
      <c r="C24" s="593">
        <v>719</v>
      </c>
      <c r="D24" s="526">
        <v>662</v>
      </c>
      <c r="E24" s="601">
        <v>43</v>
      </c>
      <c r="F24" s="18">
        <f t="shared" si="5"/>
        <v>1920</v>
      </c>
      <c r="G24" s="593">
        <v>948</v>
      </c>
      <c r="H24" s="440">
        <v>972</v>
      </c>
      <c r="I24" s="633">
        <v>73</v>
      </c>
      <c r="J24" s="622">
        <f>K24+L24</f>
        <v>786</v>
      </c>
      <c r="K24" s="622">
        <v>363</v>
      </c>
      <c r="L24" s="622">
        <v>423</v>
      </c>
      <c r="M24" s="633">
        <v>103</v>
      </c>
      <c r="N24" s="622">
        <f>O24+P24</f>
        <v>6</v>
      </c>
      <c r="O24" s="622">
        <v>3</v>
      </c>
      <c r="P24" s="622">
        <v>3</v>
      </c>
    </row>
    <row r="25" spans="1:16" ht="16.5" customHeight="1" x14ac:dyDescent="0.15">
      <c r="A25" s="211">
        <v>14</v>
      </c>
      <c r="B25" s="18">
        <f t="shared" si="4"/>
        <v>1413</v>
      </c>
      <c r="C25" s="593">
        <v>736</v>
      </c>
      <c r="D25" s="526">
        <v>677</v>
      </c>
      <c r="E25" s="601">
        <v>44</v>
      </c>
      <c r="F25" s="18">
        <f t="shared" si="5"/>
        <v>1905</v>
      </c>
      <c r="G25" s="593">
        <v>908</v>
      </c>
      <c r="H25" s="440">
        <v>997</v>
      </c>
      <c r="I25" s="633">
        <v>74</v>
      </c>
      <c r="J25" s="622">
        <f>K25+L25</f>
        <v>851</v>
      </c>
      <c r="K25" s="622">
        <v>389</v>
      </c>
      <c r="L25" s="622">
        <v>462</v>
      </c>
      <c r="M25" s="633">
        <v>104</v>
      </c>
      <c r="N25" s="622">
        <f>O25+P25</f>
        <v>5</v>
      </c>
      <c r="O25" s="624">
        <v>0</v>
      </c>
      <c r="P25" s="622">
        <v>5</v>
      </c>
    </row>
    <row r="26" spans="1:16" ht="16.5" customHeight="1" x14ac:dyDescent="0.15">
      <c r="A26" s="213" t="s">
        <v>53</v>
      </c>
      <c r="B26" s="524">
        <f>SUM(B21:B25)</f>
        <v>6939</v>
      </c>
      <c r="C26" s="595">
        <f>SUM(C21:C25)</f>
        <v>3585</v>
      </c>
      <c r="D26" s="595">
        <f>SUM(D21:D25)</f>
        <v>3354</v>
      </c>
      <c r="E26" s="15" t="s">
        <v>54</v>
      </c>
      <c r="F26" s="524">
        <f>SUM(F21:F25)</f>
        <v>8853</v>
      </c>
      <c r="G26" s="595">
        <f>SUM(G21:G25)</f>
        <v>4336</v>
      </c>
      <c r="H26" s="441">
        <f>SUM(H21:H25)</f>
        <v>4517</v>
      </c>
      <c r="I26" s="634" t="s">
        <v>55</v>
      </c>
      <c r="J26" s="623">
        <f>SUM(J21:J25)</f>
        <v>4049</v>
      </c>
      <c r="K26" s="623">
        <f>SUM(K21:K25)</f>
        <v>1913</v>
      </c>
      <c r="L26" s="623">
        <f>SUM(L21:L25)</f>
        <v>2136</v>
      </c>
      <c r="M26" s="634" t="s">
        <v>56</v>
      </c>
      <c r="N26" s="623">
        <f>SUM(N21:N25)</f>
        <v>59</v>
      </c>
      <c r="O26" s="623">
        <f>SUM(O21:O25)</f>
        <v>7</v>
      </c>
      <c r="P26" s="623">
        <f>SUM(P21:P25)</f>
        <v>52</v>
      </c>
    </row>
    <row r="27" spans="1:16" ht="16.5" customHeight="1" x14ac:dyDescent="0.15">
      <c r="A27" s="212"/>
      <c r="B27" s="18"/>
      <c r="C27" s="593"/>
      <c r="D27" s="526"/>
      <c r="E27" s="16"/>
      <c r="F27" s="18"/>
      <c r="G27" s="593"/>
      <c r="H27" s="440"/>
      <c r="I27" s="621"/>
      <c r="J27" s="622"/>
      <c r="K27" s="622"/>
      <c r="L27" s="622"/>
      <c r="M27" s="621"/>
      <c r="N27" s="622"/>
      <c r="O27" s="622"/>
      <c r="P27" s="622"/>
    </row>
    <row r="28" spans="1:16" ht="16.5" customHeight="1" x14ac:dyDescent="0.15">
      <c r="A28" s="211">
        <v>15</v>
      </c>
      <c r="B28" s="18">
        <f>SUM(C28:D28)</f>
        <v>1406</v>
      </c>
      <c r="C28" s="593">
        <v>720</v>
      </c>
      <c r="D28" s="526">
        <v>686</v>
      </c>
      <c r="E28" s="601">
        <v>45</v>
      </c>
      <c r="F28" s="18">
        <f>SUM(G28:H28)</f>
        <v>1833</v>
      </c>
      <c r="G28" s="593">
        <v>936</v>
      </c>
      <c r="H28" s="440">
        <v>897</v>
      </c>
      <c r="I28" s="633">
        <v>75</v>
      </c>
      <c r="J28" s="622">
        <f>K28+L28</f>
        <v>808</v>
      </c>
      <c r="K28" s="622">
        <v>371</v>
      </c>
      <c r="L28" s="622">
        <v>437</v>
      </c>
      <c r="M28" s="634" t="s">
        <v>57</v>
      </c>
      <c r="N28" s="623">
        <f>SUM(O28:P28)</f>
        <v>2</v>
      </c>
      <c r="O28" s="625">
        <v>0</v>
      </c>
      <c r="P28" s="623">
        <v>2</v>
      </c>
    </row>
    <row r="29" spans="1:16" ht="16.5" customHeight="1" x14ac:dyDescent="0.15">
      <c r="A29" s="211">
        <v>16</v>
      </c>
      <c r="B29" s="18">
        <f t="shared" ref="B29:B32" si="6">SUM(C29:D29)</f>
        <v>1471</v>
      </c>
      <c r="C29" s="593">
        <v>741</v>
      </c>
      <c r="D29" s="526">
        <v>730</v>
      </c>
      <c r="E29" s="601">
        <v>46</v>
      </c>
      <c r="F29" s="18">
        <f t="shared" ref="F29:F32" si="7">SUM(G29:H29)</f>
        <v>1773</v>
      </c>
      <c r="G29" s="593">
        <v>854</v>
      </c>
      <c r="H29" s="440">
        <v>919</v>
      </c>
      <c r="I29" s="633">
        <v>76</v>
      </c>
      <c r="J29" s="622">
        <f>K29+L29</f>
        <v>944</v>
      </c>
      <c r="K29" s="622">
        <v>418</v>
      </c>
      <c r="L29" s="622">
        <v>526</v>
      </c>
      <c r="M29" s="621"/>
      <c r="N29" s="622"/>
      <c r="O29" s="622"/>
      <c r="P29" s="622"/>
    </row>
    <row r="30" spans="1:16" ht="16.5" customHeight="1" x14ac:dyDescent="0.15">
      <c r="A30" s="211">
        <v>17</v>
      </c>
      <c r="B30" s="18">
        <f t="shared" si="6"/>
        <v>1403</v>
      </c>
      <c r="C30" s="593">
        <v>698</v>
      </c>
      <c r="D30" s="526">
        <v>705</v>
      </c>
      <c r="E30" s="601">
        <v>47</v>
      </c>
      <c r="F30" s="18">
        <f t="shared" si="7"/>
        <v>1674</v>
      </c>
      <c r="G30" s="593">
        <v>798</v>
      </c>
      <c r="H30" s="440">
        <v>876</v>
      </c>
      <c r="I30" s="633">
        <v>77</v>
      </c>
      <c r="J30" s="622">
        <f>K30+L30</f>
        <v>867</v>
      </c>
      <c r="K30" s="622">
        <v>406</v>
      </c>
      <c r="L30" s="622">
        <v>461</v>
      </c>
      <c r="M30" s="621"/>
      <c r="N30" s="622"/>
      <c r="O30" s="622"/>
      <c r="P30" s="622"/>
    </row>
    <row r="31" spans="1:16" ht="16.5" customHeight="1" x14ac:dyDescent="0.15">
      <c r="A31" s="211">
        <v>18</v>
      </c>
      <c r="B31" s="18">
        <f t="shared" si="6"/>
        <v>1369</v>
      </c>
      <c r="C31" s="593">
        <v>691</v>
      </c>
      <c r="D31" s="526">
        <v>678</v>
      </c>
      <c r="E31" s="601">
        <v>48</v>
      </c>
      <c r="F31" s="18">
        <f t="shared" si="7"/>
        <v>1667</v>
      </c>
      <c r="G31" s="593">
        <v>843</v>
      </c>
      <c r="H31" s="440">
        <v>824</v>
      </c>
      <c r="I31" s="633">
        <v>78</v>
      </c>
      <c r="J31" s="622">
        <f>K31+L31</f>
        <v>817</v>
      </c>
      <c r="K31" s="622">
        <v>370</v>
      </c>
      <c r="L31" s="622">
        <v>447</v>
      </c>
      <c r="M31" s="621" t="s">
        <v>58</v>
      </c>
      <c r="N31" s="622"/>
      <c r="O31" s="622"/>
      <c r="P31" s="622"/>
    </row>
    <row r="32" spans="1:16" ht="16.5" customHeight="1" x14ac:dyDescent="0.15">
      <c r="A32" s="211">
        <v>19</v>
      </c>
      <c r="B32" s="18">
        <f t="shared" si="6"/>
        <v>1345</v>
      </c>
      <c r="C32" s="593">
        <v>701</v>
      </c>
      <c r="D32" s="526">
        <v>644</v>
      </c>
      <c r="E32" s="601">
        <v>49</v>
      </c>
      <c r="F32" s="18">
        <f t="shared" si="7"/>
        <v>1726</v>
      </c>
      <c r="G32" s="593">
        <v>836</v>
      </c>
      <c r="H32" s="440">
        <v>890</v>
      </c>
      <c r="I32" s="633">
        <v>79</v>
      </c>
      <c r="J32" s="622">
        <f>K32+L32</f>
        <v>742</v>
      </c>
      <c r="K32" s="622">
        <v>354</v>
      </c>
      <c r="L32" s="622">
        <v>388</v>
      </c>
      <c r="M32" s="621" t="s">
        <v>59</v>
      </c>
      <c r="N32" s="622">
        <f>SUM(O32:P32)</f>
        <v>86895</v>
      </c>
      <c r="O32" s="622">
        <f>SUM(C40+C47+G12+G19+G26+G33+G40+G47+K12+K19+K26+K33+K40+K47+O12+O19+O26+O28)</f>
        <v>41798</v>
      </c>
      <c r="P32" s="622">
        <f>SUM(D40+D47+H12+H19+H26+H33+H40+H47+L12+L19+L26+L33+L40+L47+P12+P19+P26+P28)</f>
        <v>45097</v>
      </c>
    </row>
    <row r="33" spans="1:19" ht="16.5" customHeight="1" x14ac:dyDescent="0.15">
      <c r="A33" s="213" t="s">
        <v>60</v>
      </c>
      <c r="B33" s="524">
        <f>SUM(B28:B32)</f>
        <v>6994</v>
      </c>
      <c r="C33" s="595">
        <f>SUM(C28:C32)</f>
        <v>3551</v>
      </c>
      <c r="D33" s="595">
        <f>SUM(D28:D32)</f>
        <v>3443</v>
      </c>
      <c r="E33" s="15" t="s">
        <v>61</v>
      </c>
      <c r="F33" s="524">
        <f>SUM(F28:F32)</f>
        <v>8673</v>
      </c>
      <c r="G33" s="595">
        <f>SUM(G28:G32)</f>
        <v>4267</v>
      </c>
      <c r="H33" s="441">
        <f>SUM(H28:H32)</f>
        <v>4406</v>
      </c>
      <c r="I33" s="634" t="s">
        <v>62</v>
      </c>
      <c r="J33" s="623">
        <f>SUM(J28:J32)</f>
        <v>4178</v>
      </c>
      <c r="K33" s="623">
        <f>SUM(K28:K32)</f>
        <v>1919</v>
      </c>
      <c r="L33" s="623">
        <f>SUM(L28:L32)</f>
        <v>2259</v>
      </c>
      <c r="M33" s="621" t="s">
        <v>63</v>
      </c>
      <c r="N33" s="622">
        <f>SUM(O33:P33)</f>
        <v>52010</v>
      </c>
      <c r="O33" s="622">
        <f>SUM(C33+C40+C47+G12+G19+G26+G33)</f>
        <v>25879</v>
      </c>
      <c r="P33" s="622">
        <f>SUM(D33+D40+D47+H12+H19+H26+H33)</f>
        <v>26131</v>
      </c>
    </row>
    <row r="34" spans="1:19" ht="16.5" customHeight="1" x14ac:dyDescent="0.15">
      <c r="A34" s="212"/>
      <c r="B34" s="18"/>
      <c r="C34" s="593"/>
      <c r="D34" s="526"/>
      <c r="E34" s="16"/>
      <c r="F34" s="18"/>
      <c r="G34" s="593"/>
      <c r="H34" s="440"/>
      <c r="I34" s="621"/>
      <c r="J34" s="622"/>
      <c r="K34" s="622"/>
      <c r="L34" s="622"/>
      <c r="M34" s="621" t="s">
        <v>64</v>
      </c>
      <c r="N34" s="622">
        <f>SUM(O34:P34)</f>
        <v>27619</v>
      </c>
      <c r="O34" s="622">
        <f>SUM(K12+K19+K26+K33+K40+K47+O12+O19+O26+O28)</f>
        <v>12507</v>
      </c>
      <c r="P34" s="622">
        <f>SUM(L12+L19+L26+L33+L40+L47+P12+P19+P26+P28)</f>
        <v>15112</v>
      </c>
    </row>
    <row r="35" spans="1:19" ht="16.5" customHeight="1" x14ac:dyDescent="0.15">
      <c r="A35" s="211">
        <v>20</v>
      </c>
      <c r="B35" s="18">
        <f>SUM(C35:D35)</f>
        <v>1301</v>
      </c>
      <c r="C35" s="593">
        <v>666</v>
      </c>
      <c r="D35" s="526">
        <v>635</v>
      </c>
      <c r="E35" s="601">
        <v>50</v>
      </c>
      <c r="F35" s="18">
        <f>SUM(G35:H35)</f>
        <v>1723</v>
      </c>
      <c r="G35" s="593">
        <v>849</v>
      </c>
      <c r="H35" s="440">
        <v>874</v>
      </c>
      <c r="I35" s="633">
        <v>80</v>
      </c>
      <c r="J35" s="622">
        <f>K35+L35</f>
        <v>725</v>
      </c>
      <c r="K35" s="622">
        <v>307</v>
      </c>
      <c r="L35" s="622">
        <v>418</v>
      </c>
      <c r="M35" s="621" t="s">
        <v>65</v>
      </c>
      <c r="N35" s="622">
        <f>SUM(O35:P35)</f>
        <v>14149</v>
      </c>
      <c r="O35" s="622">
        <f>SUM(K26+K33+K40+K47+O12+O19+O26+O28)</f>
        <v>5985</v>
      </c>
      <c r="P35" s="622">
        <f>SUM(L26+L33+L40+L47+P12+P19+P26+P28)</f>
        <v>8164</v>
      </c>
    </row>
    <row r="36" spans="1:19" ht="16.5" customHeight="1" x14ac:dyDescent="0.15">
      <c r="A36" s="211">
        <v>21</v>
      </c>
      <c r="B36" s="18">
        <f t="shared" ref="B36:B39" si="8">SUM(C36:D36)</f>
        <v>1209</v>
      </c>
      <c r="C36" s="593">
        <v>651</v>
      </c>
      <c r="D36" s="526">
        <v>558</v>
      </c>
      <c r="E36" s="601">
        <v>51</v>
      </c>
      <c r="F36" s="18">
        <f t="shared" ref="F36:F39" si="9">SUM(G36:H36)</f>
        <v>1329</v>
      </c>
      <c r="G36" s="593">
        <v>631</v>
      </c>
      <c r="H36" s="440">
        <v>698</v>
      </c>
      <c r="I36" s="633">
        <v>81</v>
      </c>
      <c r="J36" s="622">
        <f>K36+L36</f>
        <v>712</v>
      </c>
      <c r="K36" s="622">
        <v>304</v>
      </c>
      <c r="L36" s="622">
        <v>408</v>
      </c>
      <c r="M36" s="621" t="s">
        <v>66</v>
      </c>
      <c r="N36" s="622">
        <f>SUM(O36:P36)</f>
        <v>10100</v>
      </c>
      <c r="O36" s="622">
        <f>SUM(K33+K40+K47+O12+O19+O26+O28)</f>
        <v>4072</v>
      </c>
      <c r="P36" s="622">
        <f>SUM(L33+L40+L47+P12+P19+P26+P28)</f>
        <v>6028</v>
      </c>
      <c r="R36" s="615"/>
      <c r="S36" s="615"/>
    </row>
    <row r="37" spans="1:19" ht="16.5" customHeight="1" x14ac:dyDescent="0.15">
      <c r="A37" s="211">
        <v>22</v>
      </c>
      <c r="B37" s="18">
        <f t="shared" si="8"/>
        <v>1268</v>
      </c>
      <c r="C37" s="593">
        <v>635</v>
      </c>
      <c r="D37" s="526">
        <v>633</v>
      </c>
      <c r="E37" s="601">
        <v>52</v>
      </c>
      <c r="F37" s="18">
        <f t="shared" si="9"/>
        <v>1407</v>
      </c>
      <c r="G37" s="593">
        <v>681</v>
      </c>
      <c r="H37" s="440">
        <v>726</v>
      </c>
      <c r="I37" s="633">
        <v>82</v>
      </c>
      <c r="J37" s="622">
        <f>K37+L37</f>
        <v>641</v>
      </c>
      <c r="K37" s="622">
        <v>266</v>
      </c>
      <c r="L37" s="622">
        <v>375</v>
      </c>
      <c r="M37" s="621"/>
      <c r="N37" s="622"/>
      <c r="O37" s="622"/>
      <c r="P37" s="622"/>
    </row>
    <row r="38" spans="1:19" ht="16.5" customHeight="1" x14ac:dyDescent="0.15">
      <c r="A38" s="211">
        <v>23</v>
      </c>
      <c r="B38" s="18">
        <f t="shared" si="8"/>
        <v>1208</v>
      </c>
      <c r="C38" s="593">
        <v>626</v>
      </c>
      <c r="D38" s="526">
        <v>582</v>
      </c>
      <c r="E38" s="601">
        <v>53</v>
      </c>
      <c r="F38" s="18">
        <f t="shared" si="9"/>
        <v>1456</v>
      </c>
      <c r="G38" s="593">
        <v>727</v>
      </c>
      <c r="H38" s="440">
        <v>729</v>
      </c>
      <c r="I38" s="633">
        <v>83</v>
      </c>
      <c r="J38" s="622">
        <f>K38+L38</f>
        <v>603</v>
      </c>
      <c r="K38" s="622">
        <v>233</v>
      </c>
      <c r="L38" s="622">
        <v>370</v>
      </c>
      <c r="M38" s="621" t="s">
        <v>67</v>
      </c>
      <c r="N38" s="622">
        <f>SUM(O38:P38)</f>
        <v>20483</v>
      </c>
      <c r="O38" s="622">
        <f>SUM(C12+C19+C26)</f>
        <v>10433</v>
      </c>
      <c r="P38" s="622">
        <f>SUM(D12+D19+D26)</f>
        <v>10050</v>
      </c>
    </row>
    <row r="39" spans="1:19" ht="16.5" customHeight="1" x14ac:dyDescent="0.15">
      <c r="A39" s="211">
        <v>24</v>
      </c>
      <c r="B39" s="18">
        <f t="shared" si="8"/>
        <v>1248</v>
      </c>
      <c r="C39" s="593">
        <v>645</v>
      </c>
      <c r="D39" s="526">
        <v>603</v>
      </c>
      <c r="E39" s="601">
        <v>54</v>
      </c>
      <c r="F39" s="18">
        <f t="shared" si="9"/>
        <v>1477</v>
      </c>
      <c r="G39" s="593">
        <v>692</v>
      </c>
      <c r="H39" s="440">
        <v>785</v>
      </c>
      <c r="I39" s="633">
        <v>84</v>
      </c>
      <c r="J39" s="622">
        <f>K39+L39</f>
        <v>503</v>
      </c>
      <c r="K39" s="622">
        <v>211</v>
      </c>
      <c r="L39" s="622">
        <v>292</v>
      </c>
      <c r="M39" s="621" t="s">
        <v>68</v>
      </c>
      <c r="N39" s="622">
        <f>SUM(O39:P39)</f>
        <v>72830</v>
      </c>
      <c r="O39" s="622">
        <f>SUM(C33+C40+C47+G12+G19+G26+G33+G40+G47+K12)</f>
        <v>36027</v>
      </c>
      <c r="P39" s="622">
        <f>SUM(D33+D40+D47+H12+H19+H26+H33+H40+H47+L12)</f>
        <v>36803</v>
      </c>
    </row>
    <row r="40" spans="1:19" ht="16.5" customHeight="1" x14ac:dyDescent="0.15">
      <c r="A40" s="213" t="s">
        <v>69</v>
      </c>
      <c r="B40" s="524">
        <f>SUM(B35:B39)</f>
        <v>6234</v>
      </c>
      <c r="C40" s="595">
        <f>SUM(C35:C39)</f>
        <v>3223</v>
      </c>
      <c r="D40" s="595">
        <f>SUM(D35:D39)</f>
        <v>3011</v>
      </c>
      <c r="E40" s="15" t="s">
        <v>70</v>
      </c>
      <c r="F40" s="524">
        <f>SUM(F35:F39)</f>
        <v>7392</v>
      </c>
      <c r="G40" s="595">
        <f>SUM(G35:G39)</f>
        <v>3580</v>
      </c>
      <c r="H40" s="441">
        <f>SUM(H35:H39)</f>
        <v>3812</v>
      </c>
      <c r="I40" s="634" t="s">
        <v>71</v>
      </c>
      <c r="J40" s="623">
        <f>SUM(J35:J39)</f>
        <v>3184</v>
      </c>
      <c r="K40" s="623">
        <f>SUM(K35:K39)</f>
        <v>1321</v>
      </c>
      <c r="L40" s="623">
        <f>SUM(L35:L39)</f>
        <v>1863</v>
      </c>
      <c r="M40" s="621" t="s">
        <v>72</v>
      </c>
      <c r="N40" s="622">
        <f>SUM(O40:P40)</f>
        <v>21059</v>
      </c>
      <c r="O40" s="622">
        <f>SUM(K19+K26+K33+K40+K47+O12+O19+O26+O28)</f>
        <v>9322</v>
      </c>
      <c r="P40" s="622">
        <f>SUM(L19+L26+L33+L40+L47+P12+P19+P26+P28)</f>
        <v>11737</v>
      </c>
    </row>
    <row r="41" spans="1:19" ht="16.5" customHeight="1" x14ac:dyDescent="0.15">
      <c r="A41" s="212"/>
      <c r="B41" s="18"/>
      <c r="C41" s="593"/>
      <c r="D41" s="526"/>
      <c r="E41" s="16"/>
      <c r="F41" s="18"/>
      <c r="G41" s="593"/>
      <c r="H41" s="440"/>
      <c r="I41" s="621"/>
      <c r="J41" s="622"/>
      <c r="K41" s="622"/>
      <c r="L41" s="622"/>
      <c r="M41" s="621"/>
      <c r="N41" s="621"/>
      <c r="O41" s="621"/>
      <c r="P41" s="621"/>
    </row>
    <row r="42" spans="1:19" ht="16.5" customHeight="1" x14ac:dyDescent="0.15">
      <c r="A42" s="211">
        <v>25</v>
      </c>
      <c r="B42" s="18">
        <f>SUM(C42:D42)</f>
        <v>1214</v>
      </c>
      <c r="C42" s="593">
        <v>622</v>
      </c>
      <c r="D42" s="526">
        <v>592</v>
      </c>
      <c r="E42" s="601">
        <v>55</v>
      </c>
      <c r="F42" s="18">
        <f>SUM(G42:H42)</f>
        <v>1371</v>
      </c>
      <c r="G42" s="593">
        <v>654</v>
      </c>
      <c r="H42" s="440">
        <v>717</v>
      </c>
      <c r="I42" s="633">
        <v>85</v>
      </c>
      <c r="J42" s="622">
        <f>K42+L42</f>
        <v>486</v>
      </c>
      <c r="K42" s="622">
        <v>179</v>
      </c>
      <c r="L42" s="622">
        <v>307</v>
      </c>
      <c r="M42" s="633" t="s">
        <v>73</v>
      </c>
      <c r="N42" s="621"/>
      <c r="O42" s="621"/>
      <c r="P42" s="621"/>
    </row>
    <row r="43" spans="1:19" ht="16.5" customHeight="1" x14ac:dyDescent="0.15">
      <c r="A43" s="211">
        <v>26</v>
      </c>
      <c r="B43" s="18">
        <f t="shared" ref="B43:B46" si="10">SUM(C43:D43)</f>
        <v>1279</v>
      </c>
      <c r="C43" s="593">
        <v>641</v>
      </c>
      <c r="D43" s="526">
        <v>638</v>
      </c>
      <c r="E43" s="601">
        <v>56</v>
      </c>
      <c r="F43" s="18">
        <f t="shared" ref="F43:F46" si="11">SUM(G43:H43)</f>
        <v>1440</v>
      </c>
      <c r="G43" s="593">
        <v>697</v>
      </c>
      <c r="H43" s="440">
        <v>743</v>
      </c>
      <c r="I43" s="633">
        <v>86</v>
      </c>
      <c r="J43" s="622">
        <f>K43+L43</f>
        <v>366</v>
      </c>
      <c r="K43" s="622">
        <v>126</v>
      </c>
      <c r="L43" s="622">
        <v>240</v>
      </c>
      <c r="M43" s="621" t="s">
        <v>67</v>
      </c>
      <c r="N43" s="626">
        <f>N38/$B$5</f>
        <v>0.17909103626761794</v>
      </c>
      <c r="O43" s="626">
        <f>O38/$B$5</f>
        <v>9.1219878991361525E-2</v>
      </c>
      <c r="P43" s="626">
        <f t="shared" ref="N43:P45" si="12">P38/$B$5</f>
        <v>8.7871157276256426E-2</v>
      </c>
    </row>
    <row r="44" spans="1:19" ht="16.5" customHeight="1" x14ac:dyDescent="0.15">
      <c r="A44" s="211">
        <v>27</v>
      </c>
      <c r="B44" s="18">
        <f t="shared" si="10"/>
        <v>1246</v>
      </c>
      <c r="C44" s="593">
        <v>643</v>
      </c>
      <c r="D44" s="526">
        <v>603</v>
      </c>
      <c r="E44" s="601">
        <v>57</v>
      </c>
      <c r="F44" s="18">
        <f t="shared" si="11"/>
        <v>1381</v>
      </c>
      <c r="G44" s="593">
        <v>701</v>
      </c>
      <c r="H44" s="440">
        <v>680</v>
      </c>
      <c r="I44" s="633">
        <v>87</v>
      </c>
      <c r="J44" s="622">
        <f>K44+L44</f>
        <v>331</v>
      </c>
      <c r="K44" s="622">
        <v>123</v>
      </c>
      <c r="L44" s="622">
        <v>208</v>
      </c>
      <c r="M44" s="621" t="s">
        <v>68</v>
      </c>
      <c r="N44" s="626">
        <f t="shared" si="12"/>
        <v>0.63678172979400549</v>
      </c>
      <c r="O44" s="626">
        <f t="shared" si="12"/>
        <v>0.31499842618822788</v>
      </c>
      <c r="P44" s="626">
        <f t="shared" si="12"/>
        <v>0.32178330360577762</v>
      </c>
    </row>
    <row r="45" spans="1:19" ht="16.5" customHeight="1" x14ac:dyDescent="0.15">
      <c r="A45" s="211">
        <v>28</v>
      </c>
      <c r="B45" s="18">
        <f t="shared" si="10"/>
        <v>1272</v>
      </c>
      <c r="C45" s="593">
        <v>623</v>
      </c>
      <c r="D45" s="526">
        <v>649</v>
      </c>
      <c r="E45" s="601">
        <v>58</v>
      </c>
      <c r="F45" s="18">
        <f t="shared" si="11"/>
        <v>1331</v>
      </c>
      <c r="G45" s="593">
        <v>656</v>
      </c>
      <c r="H45" s="440">
        <v>675</v>
      </c>
      <c r="I45" s="633">
        <v>88</v>
      </c>
      <c r="J45" s="622">
        <f>K45+L45</f>
        <v>284</v>
      </c>
      <c r="K45" s="622">
        <v>92</v>
      </c>
      <c r="L45" s="622">
        <v>192</v>
      </c>
      <c r="M45" s="621" t="s">
        <v>72</v>
      </c>
      <c r="N45" s="626">
        <f t="shared" si="12"/>
        <v>0.18412723393837652</v>
      </c>
      <c r="O45" s="626">
        <f t="shared" si="12"/>
        <v>8.1505962997936554E-2</v>
      </c>
      <c r="P45" s="626">
        <f t="shared" si="12"/>
        <v>0.10262127094043996</v>
      </c>
    </row>
    <row r="46" spans="1:19" ht="16.5" customHeight="1" x14ac:dyDescent="0.15">
      <c r="A46" s="211">
        <v>29</v>
      </c>
      <c r="B46" s="18">
        <f t="shared" si="10"/>
        <v>1311</v>
      </c>
      <c r="C46" s="593">
        <v>657</v>
      </c>
      <c r="D46" s="526">
        <v>654</v>
      </c>
      <c r="E46" s="601">
        <v>59</v>
      </c>
      <c r="F46" s="18">
        <f t="shared" si="11"/>
        <v>1345</v>
      </c>
      <c r="G46" s="593">
        <v>675</v>
      </c>
      <c r="H46" s="440">
        <v>670</v>
      </c>
      <c r="I46" s="633">
        <v>89</v>
      </c>
      <c r="J46" s="622">
        <f>K46+L46</f>
        <v>268</v>
      </c>
      <c r="K46" s="622">
        <v>83</v>
      </c>
      <c r="L46" s="622">
        <v>185</v>
      </c>
      <c r="M46" s="621"/>
      <c r="N46" s="627"/>
      <c r="O46" s="627"/>
      <c r="P46" s="627"/>
    </row>
    <row r="47" spans="1:19" ht="16.5" customHeight="1" x14ac:dyDescent="0.15">
      <c r="A47" s="213" t="s">
        <v>74</v>
      </c>
      <c r="B47" s="524">
        <f>SUM(B42:B46)</f>
        <v>6322</v>
      </c>
      <c r="C47" s="595">
        <f>SUM(C42:C46)</f>
        <v>3186</v>
      </c>
      <c r="D47" s="595">
        <f>SUM(D42:D46)</f>
        <v>3136</v>
      </c>
      <c r="E47" s="15" t="s">
        <v>75</v>
      </c>
      <c r="F47" s="524">
        <f>SUM(F42:F46)</f>
        <v>6868</v>
      </c>
      <c r="G47" s="595">
        <f>SUM(G42:G46)</f>
        <v>3383</v>
      </c>
      <c r="H47" s="441">
        <f>SUM(H42:H46)</f>
        <v>3485</v>
      </c>
      <c r="I47" s="634" t="s">
        <v>76</v>
      </c>
      <c r="J47" s="623">
        <f>SUM(J42:J46)</f>
        <v>1735</v>
      </c>
      <c r="K47" s="623">
        <f>SUM(K42:K46)</f>
        <v>603</v>
      </c>
      <c r="L47" s="623">
        <f>SUM(L42:L46)</f>
        <v>1132</v>
      </c>
      <c r="M47" s="621" t="s">
        <v>77</v>
      </c>
      <c r="N47" s="628">
        <v>40.49</v>
      </c>
      <c r="O47" s="628">
        <v>39.33</v>
      </c>
      <c r="P47" s="628">
        <v>41.59</v>
      </c>
    </row>
    <row r="48" spans="1:19" ht="16.5" customHeight="1" thickBot="1" x14ac:dyDescent="0.2">
      <c r="A48" s="217"/>
      <c r="B48" s="537"/>
      <c r="C48" s="599"/>
      <c r="D48" s="538"/>
      <c r="E48" s="218"/>
      <c r="F48" s="537"/>
      <c r="G48" s="599"/>
      <c r="H48" s="442"/>
      <c r="I48" s="621"/>
      <c r="J48" s="621"/>
      <c r="K48" s="621"/>
      <c r="L48" s="621"/>
      <c r="M48" s="621"/>
      <c r="N48" s="621"/>
      <c r="O48" s="621"/>
      <c r="P48" s="621"/>
    </row>
    <row r="49" spans="1:16" ht="18" customHeight="1" x14ac:dyDescent="0.15">
      <c r="A49" s="13" t="s">
        <v>78</v>
      </c>
      <c r="B49" s="613"/>
      <c r="C49" s="613"/>
      <c r="D49" s="613"/>
      <c r="E49" s="13"/>
      <c r="F49" s="613"/>
      <c r="G49" s="613"/>
      <c r="H49" s="613"/>
      <c r="I49" s="629"/>
      <c r="J49" s="630"/>
      <c r="K49" s="630"/>
      <c r="L49" s="630"/>
      <c r="M49" s="621"/>
      <c r="N49" s="630"/>
      <c r="O49" s="631"/>
      <c r="P49" s="632" t="s">
        <v>658</v>
      </c>
    </row>
  </sheetData>
  <sheetProtection sheet="1" objects="1" scenarios="1"/>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9"/>
  <sheetViews>
    <sheetView view="pageBreakPreview" zoomScale="70" zoomScaleNormal="120" zoomScaleSheetLayoutView="70" workbookViewId="0">
      <selection activeCell="K250" sqref="K250"/>
    </sheetView>
  </sheetViews>
  <sheetFormatPr defaultRowHeight="17.100000000000001" customHeight="1" x14ac:dyDescent="0.15"/>
  <cols>
    <col min="1" max="1" width="11.875" style="114" customWidth="1"/>
    <col min="2" max="4" width="11.25" style="614" customWidth="1"/>
    <col min="5" max="5" width="11.875" style="114" customWidth="1"/>
    <col min="6" max="8" width="11.25" style="614" customWidth="1"/>
    <col min="9" max="9" width="11.875" style="618" customWidth="1"/>
    <col min="10" max="12" width="11.25" style="614" customWidth="1"/>
    <col min="13" max="13" width="11.875" style="614" customWidth="1"/>
    <col min="14" max="16" width="11.25" style="614" customWidth="1"/>
    <col min="17" max="16384" width="9" style="614"/>
  </cols>
  <sheetData>
    <row r="1" spans="1:16" ht="5.0999999999999996" customHeight="1" x14ac:dyDescent="0.15">
      <c r="A1" s="13"/>
      <c r="B1" s="613"/>
      <c r="C1" s="613"/>
      <c r="D1" s="613"/>
      <c r="E1" s="13"/>
      <c r="G1" s="613"/>
      <c r="H1" s="14"/>
      <c r="I1" s="13" t="s">
        <v>30</v>
      </c>
      <c r="J1" s="613"/>
      <c r="K1" s="613"/>
      <c r="L1" s="613"/>
      <c r="M1" s="13"/>
      <c r="O1" s="613"/>
      <c r="P1" s="14"/>
    </row>
    <row r="2" spans="1:16" ht="15" customHeight="1" thickBot="1" x14ac:dyDescent="0.2">
      <c r="A2" s="13" t="s">
        <v>681</v>
      </c>
      <c r="B2" s="613"/>
      <c r="C2" s="613"/>
      <c r="D2" s="613"/>
      <c r="E2" s="13"/>
      <c r="G2" s="613"/>
      <c r="H2" s="14"/>
      <c r="I2" s="13"/>
      <c r="J2" s="613"/>
      <c r="K2" s="613"/>
      <c r="L2" s="613"/>
      <c r="M2" s="13"/>
      <c r="O2" s="613"/>
      <c r="P2" s="14" t="s">
        <v>31</v>
      </c>
    </row>
    <row r="3" spans="1:16" ht="24" customHeight="1" x14ac:dyDescent="0.15">
      <c r="A3" s="589" t="s">
        <v>32</v>
      </c>
      <c r="B3" s="586" t="s">
        <v>33</v>
      </c>
      <c r="C3" s="586" t="s">
        <v>21</v>
      </c>
      <c r="D3" s="582" t="s">
        <v>22</v>
      </c>
      <c r="E3" s="586" t="s">
        <v>32</v>
      </c>
      <c r="F3" s="586" t="s">
        <v>33</v>
      </c>
      <c r="G3" s="586" t="s">
        <v>21</v>
      </c>
      <c r="H3" s="582" t="s">
        <v>22</v>
      </c>
      <c r="I3" s="582" t="s">
        <v>32</v>
      </c>
      <c r="J3" s="586" t="s">
        <v>33</v>
      </c>
      <c r="K3" s="586" t="s">
        <v>21</v>
      </c>
      <c r="L3" s="582" t="s">
        <v>22</v>
      </c>
      <c r="M3" s="586" t="s">
        <v>32</v>
      </c>
      <c r="N3" s="586" t="s">
        <v>33</v>
      </c>
      <c r="O3" s="586" t="s">
        <v>21</v>
      </c>
      <c r="P3" s="592" t="s">
        <v>22</v>
      </c>
    </row>
    <row r="4" spans="1:16" ht="7.5" customHeight="1" x14ac:dyDescent="0.15">
      <c r="A4" s="211"/>
      <c r="B4" s="584"/>
      <c r="C4" s="224"/>
      <c r="D4" s="602"/>
      <c r="E4" s="601"/>
      <c r="F4" s="584"/>
      <c r="G4" s="224"/>
      <c r="H4" s="225"/>
      <c r="I4" s="603"/>
      <c r="J4" s="584"/>
      <c r="K4" s="224"/>
      <c r="L4" s="602"/>
      <c r="M4" s="601"/>
      <c r="N4" s="584"/>
      <c r="O4" s="224"/>
      <c r="P4" s="226"/>
    </row>
    <row r="5" spans="1:16" ht="16.5" customHeight="1" x14ac:dyDescent="0.15">
      <c r="A5" s="213" t="s">
        <v>34</v>
      </c>
      <c r="B5" s="524">
        <f>SUM(C5:D5)</f>
        <v>114372</v>
      </c>
      <c r="C5" s="595">
        <f>C$12+C$19+C$26+C$33+C$40+C$47+G$12+G$19+G$26+G$33+G$40+G$47+K$12+K$19+K$26+K$33+K$40+K$47+O$12+O$19+O$26+O$28</f>
        <v>55782</v>
      </c>
      <c r="D5" s="595">
        <f>D$12+D$19+D$26+D$33+D$40+D$47+H$12+H$19+H$26+H$33+H$40+H$47+L$12+L$19+L$26+L$33+L$40+L$47+P$12+P$19+P$26+P$28</f>
        <v>58590</v>
      </c>
      <c r="E5" s="16"/>
      <c r="F5" s="16"/>
      <c r="G5" s="520"/>
      <c r="H5" s="525"/>
      <c r="I5" s="17"/>
      <c r="J5" s="16"/>
      <c r="K5" s="520"/>
      <c r="L5" s="525"/>
      <c r="M5" s="16"/>
      <c r="N5" s="16"/>
      <c r="O5" s="520"/>
      <c r="P5" s="201"/>
    </row>
    <row r="6" spans="1:16" ht="16.5" customHeight="1" x14ac:dyDescent="0.15">
      <c r="A6" s="212"/>
      <c r="B6" s="18"/>
      <c r="C6" s="593"/>
      <c r="D6" s="526"/>
      <c r="E6" s="16"/>
      <c r="F6" s="16"/>
      <c r="G6" s="520"/>
      <c r="H6" s="525"/>
      <c r="I6" s="17"/>
      <c r="J6" s="16"/>
      <c r="K6" s="520"/>
      <c r="L6" s="525"/>
      <c r="M6" s="16"/>
      <c r="N6" s="16"/>
      <c r="O6" s="520"/>
      <c r="P6" s="201"/>
    </row>
    <row r="7" spans="1:16" ht="16.5" customHeight="1" x14ac:dyDescent="0.15">
      <c r="A7" s="214" t="s">
        <v>35</v>
      </c>
      <c r="B7" s="18">
        <f>SUM(C7:D7)</f>
        <v>1255</v>
      </c>
      <c r="C7" s="593">
        <v>643</v>
      </c>
      <c r="D7" s="526">
        <v>612</v>
      </c>
      <c r="E7" s="601">
        <v>30</v>
      </c>
      <c r="F7" s="18">
        <f>SUM(G7:H7)</f>
        <v>1325</v>
      </c>
      <c r="G7" s="593">
        <v>663</v>
      </c>
      <c r="H7" s="526">
        <v>662</v>
      </c>
      <c r="I7" s="603">
        <v>60</v>
      </c>
      <c r="J7" s="18">
        <f>K7+L7</f>
        <v>1242</v>
      </c>
      <c r="K7" s="593">
        <v>634</v>
      </c>
      <c r="L7" s="526">
        <v>608</v>
      </c>
      <c r="M7" s="601">
        <v>90</v>
      </c>
      <c r="N7" s="18">
        <f>O7+P7</f>
        <v>209</v>
      </c>
      <c r="O7" s="593">
        <v>57</v>
      </c>
      <c r="P7" s="527">
        <v>152</v>
      </c>
    </row>
    <row r="8" spans="1:16" ht="16.5" customHeight="1" x14ac:dyDescent="0.15">
      <c r="A8" s="214" t="s">
        <v>36</v>
      </c>
      <c r="B8" s="18">
        <f t="shared" ref="B8:B11" si="0">SUM(C8:D8)</f>
        <v>1326</v>
      </c>
      <c r="C8" s="593">
        <v>665</v>
      </c>
      <c r="D8" s="526">
        <v>661</v>
      </c>
      <c r="E8" s="601">
        <v>31</v>
      </c>
      <c r="F8" s="18">
        <f t="shared" ref="F8:F11" si="1">SUM(G8:H8)</f>
        <v>1496</v>
      </c>
      <c r="G8" s="593">
        <v>749</v>
      </c>
      <c r="H8" s="526">
        <v>747</v>
      </c>
      <c r="I8" s="603">
        <v>61</v>
      </c>
      <c r="J8" s="18">
        <f>K8+L8</f>
        <v>1271</v>
      </c>
      <c r="K8" s="593">
        <v>611</v>
      </c>
      <c r="L8" s="526">
        <v>660</v>
      </c>
      <c r="M8" s="601">
        <v>91</v>
      </c>
      <c r="N8" s="18">
        <f>O8+P8</f>
        <v>161</v>
      </c>
      <c r="O8" s="593">
        <v>39</v>
      </c>
      <c r="P8" s="527">
        <v>122</v>
      </c>
    </row>
    <row r="9" spans="1:16" ht="16.5" customHeight="1" x14ac:dyDescent="0.15">
      <c r="A9" s="214" t="s">
        <v>37</v>
      </c>
      <c r="B9" s="18">
        <f t="shared" si="0"/>
        <v>1338</v>
      </c>
      <c r="C9" s="593">
        <v>672</v>
      </c>
      <c r="D9" s="526">
        <v>666</v>
      </c>
      <c r="E9" s="601">
        <v>32</v>
      </c>
      <c r="F9" s="18">
        <f t="shared" si="1"/>
        <v>1484</v>
      </c>
      <c r="G9" s="593">
        <v>708</v>
      </c>
      <c r="H9" s="526">
        <v>776</v>
      </c>
      <c r="I9" s="603">
        <v>62</v>
      </c>
      <c r="J9" s="18">
        <f>K9+L9</f>
        <v>1319</v>
      </c>
      <c r="K9" s="593">
        <v>642</v>
      </c>
      <c r="L9" s="526">
        <v>677</v>
      </c>
      <c r="M9" s="601">
        <v>92</v>
      </c>
      <c r="N9" s="18">
        <f>O9+P9</f>
        <v>143</v>
      </c>
      <c r="O9" s="593">
        <v>28</v>
      </c>
      <c r="P9" s="527">
        <v>115</v>
      </c>
    </row>
    <row r="10" spans="1:16" ht="16.5" customHeight="1" x14ac:dyDescent="0.15">
      <c r="A10" s="214" t="s">
        <v>38</v>
      </c>
      <c r="B10" s="18">
        <f t="shared" si="0"/>
        <v>1303</v>
      </c>
      <c r="C10" s="593">
        <v>663</v>
      </c>
      <c r="D10" s="526">
        <v>640</v>
      </c>
      <c r="E10" s="601">
        <v>33</v>
      </c>
      <c r="F10" s="18">
        <f t="shared" si="1"/>
        <v>1548</v>
      </c>
      <c r="G10" s="593">
        <v>762</v>
      </c>
      <c r="H10" s="526">
        <v>786</v>
      </c>
      <c r="I10" s="603">
        <v>63</v>
      </c>
      <c r="J10" s="18">
        <f>K10+L10</f>
        <v>1359</v>
      </c>
      <c r="K10" s="593">
        <v>637</v>
      </c>
      <c r="L10" s="526">
        <v>722</v>
      </c>
      <c r="M10" s="601">
        <v>93</v>
      </c>
      <c r="N10" s="18">
        <f>O10+P10</f>
        <v>104</v>
      </c>
      <c r="O10" s="593">
        <v>27</v>
      </c>
      <c r="P10" s="527">
        <v>77</v>
      </c>
    </row>
    <row r="11" spans="1:16" ht="16.5" customHeight="1" x14ac:dyDescent="0.15">
      <c r="A11" s="214" t="s">
        <v>39</v>
      </c>
      <c r="B11" s="18">
        <f t="shared" si="0"/>
        <v>1344</v>
      </c>
      <c r="C11" s="593">
        <v>688</v>
      </c>
      <c r="D11" s="526">
        <v>656</v>
      </c>
      <c r="E11" s="601">
        <v>34</v>
      </c>
      <c r="F11" s="18">
        <f t="shared" si="1"/>
        <v>1466</v>
      </c>
      <c r="G11" s="593">
        <v>735</v>
      </c>
      <c r="H11" s="526">
        <v>731</v>
      </c>
      <c r="I11" s="603">
        <v>64</v>
      </c>
      <c r="J11" s="18">
        <f>K11+L11</f>
        <v>1369</v>
      </c>
      <c r="K11" s="593">
        <v>661</v>
      </c>
      <c r="L11" s="526">
        <v>708</v>
      </c>
      <c r="M11" s="601">
        <v>94</v>
      </c>
      <c r="N11" s="18">
        <f>O11+P11</f>
        <v>95</v>
      </c>
      <c r="O11" s="593">
        <v>27</v>
      </c>
      <c r="P11" s="527">
        <v>68</v>
      </c>
    </row>
    <row r="12" spans="1:16" ht="16.5" customHeight="1" x14ac:dyDescent="0.15">
      <c r="A12" s="215" t="s">
        <v>40</v>
      </c>
      <c r="B12" s="524">
        <f>SUM(B7:B11)</f>
        <v>6566</v>
      </c>
      <c r="C12" s="595">
        <f>SUM(C7:C11)</f>
        <v>3331</v>
      </c>
      <c r="D12" s="595">
        <f>SUM(D7:D11)</f>
        <v>3235</v>
      </c>
      <c r="E12" s="15" t="s">
        <v>41</v>
      </c>
      <c r="F12" s="524">
        <f>SUM(F7:F11)</f>
        <v>7319</v>
      </c>
      <c r="G12" s="595">
        <f>SUM(G7:G11)</f>
        <v>3617</v>
      </c>
      <c r="H12" s="528">
        <f>SUM(H7:H11)</f>
        <v>3702</v>
      </c>
      <c r="I12" s="19" t="s">
        <v>42</v>
      </c>
      <c r="J12" s="524">
        <f>SUM(J7:J11)</f>
        <v>6560</v>
      </c>
      <c r="K12" s="595">
        <f>SUM(K7:K11)</f>
        <v>3185</v>
      </c>
      <c r="L12" s="595">
        <f>SUM(L7:L11)</f>
        <v>3375</v>
      </c>
      <c r="M12" s="15" t="s">
        <v>43</v>
      </c>
      <c r="N12" s="524">
        <f>SUM(N7:N11)</f>
        <v>712</v>
      </c>
      <c r="O12" s="595">
        <f>SUM(O7:O11)</f>
        <v>178</v>
      </c>
      <c r="P12" s="529">
        <f>SUM(P7:P11)</f>
        <v>534</v>
      </c>
    </row>
    <row r="13" spans="1:16" ht="16.5" customHeight="1" x14ac:dyDescent="0.15">
      <c r="A13" s="216"/>
      <c r="B13" s="18"/>
      <c r="C13" s="593"/>
      <c r="D13" s="526"/>
      <c r="E13" s="16"/>
      <c r="F13" s="18"/>
      <c r="G13" s="593"/>
      <c r="H13" s="526"/>
      <c r="I13" s="16"/>
      <c r="J13" s="18"/>
      <c r="K13" s="593"/>
      <c r="L13" s="526"/>
      <c r="M13" s="16"/>
      <c r="N13" s="18"/>
      <c r="O13" s="593"/>
      <c r="P13" s="527"/>
    </row>
    <row r="14" spans="1:16" ht="16.5" customHeight="1" x14ac:dyDescent="0.15">
      <c r="A14" s="214" t="s">
        <v>44</v>
      </c>
      <c r="B14" s="18">
        <f>SUM(C14:D14)</f>
        <v>1432</v>
      </c>
      <c r="C14" s="593">
        <v>719</v>
      </c>
      <c r="D14" s="526">
        <v>713</v>
      </c>
      <c r="E14" s="601">
        <v>35</v>
      </c>
      <c r="F14" s="18">
        <f>SUM(G14:H14)</f>
        <v>1460</v>
      </c>
      <c r="G14" s="593">
        <v>720</v>
      </c>
      <c r="H14" s="526">
        <v>740</v>
      </c>
      <c r="I14" s="601">
        <v>65</v>
      </c>
      <c r="J14" s="18">
        <f>K14+L14</f>
        <v>1415</v>
      </c>
      <c r="K14" s="593">
        <v>687</v>
      </c>
      <c r="L14" s="526">
        <v>728</v>
      </c>
      <c r="M14" s="601">
        <v>95</v>
      </c>
      <c r="N14" s="18">
        <f>O14+P14</f>
        <v>83</v>
      </c>
      <c r="O14" s="593">
        <v>18</v>
      </c>
      <c r="P14" s="527">
        <v>65</v>
      </c>
    </row>
    <row r="15" spans="1:16" ht="16.5" customHeight="1" x14ac:dyDescent="0.15">
      <c r="A15" s="214" t="s">
        <v>45</v>
      </c>
      <c r="B15" s="18">
        <f t="shared" ref="B15:B18" si="2">SUM(C15:D15)</f>
        <v>1413</v>
      </c>
      <c r="C15" s="593">
        <v>702</v>
      </c>
      <c r="D15" s="526">
        <v>711</v>
      </c>
      <c r="E15" s="601">
        <v>36</v>
      </c>
      <c r="F15" s="18">
        <f t="shared" ref="F15:F18" si="3">SUM(G15:H15)</f>
        <v>1470</v>
      </c>
      <c r="G15" s="593">
        <v>695</v>
      </c>
      <c r="H15" s="526">
        <v>775</v>
      </c>
      <c r="I15" s="601">
        <v>66</v>
      </c>
      <c r="J15" s="18">
        <f>K15+L15</f>
        <v>1451</v>
      </c>
      <c r="K15" s="593">
        <v>656</v>
      </c>
      <c r="L15" s="526">
        <v>795</v>
      </c>
      <c r="M15" s="601">
        <v>96</v>
      </c>
      <c r="N15" s="18">
        <f>O15+P15</f>
        <v>49</v>
      </c>
      <c r="O15" s="593">
        <v>10</v>
      </c>
      <c r="P15" s="527">
        <v>39</v>
      </c>
    </row>
    <row r="16" spans="1:16" ht="16.5" customHeight="1" x14ac:dyDescent="0.15">
      <c r="A16" s="214" t="s">
        <v>46</v>
      </c>
      <c r="B16" s="18">
        <f t="shared" si="2"/>
        <v>1350</v>
      </c>
      <c r="C16" s="593">
        <v>682</v>
      </c>
      <c r="D16" s="526">
        <v>668</v>
      </c>
      <c r="E16" s="601">
        <v>37</v>
      </c>
      <c r="F16" s="18">
        <f t="shared" si="3"/>
        <v>1507</v>
      </c>
      <c r="G16" s="593">
        <v>721</v>
      </c>
      <c r="H16" s="526">
        <v>786</v>
      </c>
      <c r="I16" s="601">
        <v>67</v>
      </c>
      <c r="J16" s="18">
        <f>K16+L16</f>
        <v>1407</v>
      </c>
      <c r="K16" s="593">
        <v>703</v>
      </c>
      <c r="L16" s="526">
        <v>704</v>
      </c>
      <c r="M16" s="601">
        <v>97</v>
      </c>
      <c r="N16" s="18">
        <f>O16+P16</f>
        <v>37</v>
      </c>
      <c r="O16" s="593">
        <v>5</v>
      </c>
      <c r="P16" s="527">
        <v>32</v>
      </c>
    </row>
    <row r="17" spans="1:16" ht="16.5" customHeight="1" x14ac:dyDescent="0.15">
      <c r="A17" s="214" t="s">
        <v>47</v>
      </c>
      <c r="B17" s="18">
        <f t="shared" si="2"/>
        <v>1376</v>
      </c>
      <c r="C17" s="593">
        <v>722</v>
      </c>
      <c r="D17" s="526">
        <v>654</v>
      </c>
      <c r="E17" s="601">
        <v>38</v>
      </c>
      <c r="F17" s="18">
        <f t="shared" si="3"/>
        <v>1532</v>
      </c>
      <c r="G17" s="593">
        <v>740</v>
      </c>
      <c r="H17" s="526">
        <v>792</v>
      </c>
      <c r="I17" s="601">
        <v>68</v>
      </c>
      <c r="J17" s="18">
        <f>K17+L17</f>
        <v>1315</v>
      </c>
      <c r="K17" s="593">
        <v>647</v>
      </c>
      <c r="L17" s="526">
        <v>668</v>
      </c>
      <c r="M17" s="601">
        <v>98</v>
      </c>
      <c r="N17" s="18">
        <f>O17+P17</f>
        <v>42</v>
      </c>
      <c r="O17" s="593">
        <v>8</v>
      </c>
      <c r="P17" s="527">
        <v>34</v>
      </c>
    </row>
    <row r="18" spans="1:16" ht="16.5" customHeight="1" x14ac:dyDescent="0.15">
      <c r="A18" s="214" t="s">
        <v>48</v>
      </c>
      <c r="B18" s="18">
        <f t="shared" si="2"/>
        <v>1407</v>
      </c>
      <c r="C18" s="593">
        <v>692</v>
      </c>
      <c r="D18" s="526">
        <v>715</v>
      </c>
      <c r="E18" s="601">
        <v>39</v>
      </c>
      <c r="F18" s="18">
        <f t="shared" si="3"/>
        <v>1646</v>
      </c>
      <c r="G18" s="593">
        <v>823</v>
      </c>
      <c r="H18" s="526">
        <v>823</v>
      </c>
      <c r="I18" s="601">
        <v>69</v>
      </c>
      <c r="J18" s="18">
        <f>K18+L18</f>
        <v>1322</v>
      </c>
      <c r="K18" s="593">
        <v>644</v>
      </c>
      <c r="L18" s="526">
        <v>678</v>
      </c>
      <c r="M18" s="601">
        <v>99</v>
      </c>
      <c r="N18" s="18">
        <f>O18+P18</f>
        <v>19</v>
      </c>
      <c r="O18" s="593">
        <v>3</v>
      </c>
      <c r="P18" s="527">
        <v>16</v>
      </c>
    </row>
    <row r="19" spans="1:16" ht="16.5" customHeight="1" x14ac:dyDescent="0.15">
      <c r="A19" s="215" t="s">
        <v>49</v>
      </c>
      <c r="B19" s="524">
        <f>SUM(B14:B18)</f>
        <v>6978</v>
      </c>
      <c r="C19" s="595">
        <f>SUM(C14:C18)</f>
        <v>3517</v>
      </c>
      <c r="D19" s="595">
        <f>SUM(D14:D18)</f>
        <v>3461</v>
      </c>
      <c r="E19" s="15" t="s">
        <v>50</v>
      </c>
      <c r="F19" s="524">
        <f>SUM(F14:F18)</f>
        <v>7615</v>
      </c>
      <c r="G19" s="595">
        <f>SUM(G14:G18)</f>
        <v>3699</v>
      </c>
      <c r="H19" s="528">
        <f>SUM(H14:H18)</f>
        <v>3916</v>
      </c>
      <c r="I19" s="15" t="s">
        <v>51</v>
      </c>
      <c r="J19" s="524">
        <f>SUM(J14:J18)</f>
        <v>6910</v>
      </c>
      <c r="K19" s="595">
        <f>SUM(K14:K18)</f>
        <v>3337</v>
      </c>
      <c r="L19" s="595">
        <f>SUM(L14:L18)</f>
        <v>3573</v>
      </c>
      <c r="M19" s="15" t="s">
        <v>52</v>
      </c>
      <c r="N19" s="524">
        <f>SUM(N14:N18)</f>
        <v>230</v>
      </c>
      <c r="O19" s="595">
        <f>SUM(O14:O18)</f>
        <v>44</v>
      </c>
      <c r="P19" s="529">
        <f>SUM(P14:P18)</f>
        <v>186</v>
      </c>
    </row>
    <row r="20" spans="1:16" ht="16.5" customHeight="1" x14ac:dyDescent="0.15">
      <c r="A20" s="212"/>
      <c r="B20" s="18"/>
      <c r="C20" s="593"/>
      <c r="D20" s="526"/>
      <c r="E20" s="16"/>
      <c r="F20" s="18"/>
      <c r="G20" s="593"/>
      <c r="H20" s="526"/>
      <c r="I20" s="16"/>
      <c r="J20" s="18"/>
      <c r="K20" s="593"/>
      <c r="L20" s="526"/>
      <c r="M20" s="16"/>
      <c r="N20" s="18"/>
      <c r="O20" s="593"/>
      <c r="P20" s="527"/>
    </row>
    <row r="21" spans="1:16" ht="16.5" customHeight="1" x14ac:dyDescent="0.15">
      <c r="A21" s="211">
        <v>10</v>
      </c>
      <c r="B21" s="18">
        <f>SUM(C21:D21)</f>
        <v>1403</v>
      </c>
      <c r="C21" s="593">
        <v>724</v>
      </c>
      <c r="D21" s="526">
        <v>679</v>
      </c>
      <c r="E21" s="601">
        <v>40</v>
      </c>
      <c r="F21" s="18">
        <f>SUM(G21:H21)</f>
        <v>1595</v>
      </c>
      <c r="G21" s="593">
        <v>771</v>
      </c>
      <c r="H21" s="526">
        <v>824</v>
      </c>
      <c r="I21" s="601">
        <v>70</v>
      </c>
      <c r="J21" s="18">
        <f>K21+L21</f>
        <v>1257</v>
      </c>
      <c r="K21" s="593">
        <v>610</v>
      </c>
      <c r="L21" s="526">
        <v>647</v>
      </c>
      <c r="M21" s="601">
        <v>100</v>
      </c>
      <c r="N21" s="18">
        <f>O21+P21</f>
        <v>24</v>
      </c>
      <c r="O21" s="593">
        <v>1</v>
      </c>
      <c r="P21" s="527">
        <v>23</v>
      </c>
    </row>
    <row r="22" spans="1:16" ht="16.5" customHeight="1" x14ac:dyDescent="0.15">
      <c r="A22" s="211">
        <v>11</v>
      </c>
      <c r="B22" s="18">
        <f t="shared" ref="B22:B25" si="4">SUM(C22:D22)</f>
        <v>1447</v>
      </c>
      <c r="C22" s="593">
        <v>740</v>
      </c>
      <c r="D22" s="526">
        <v>707</v>
      </c>
      <c r="E22" s="601">
        <v>41</v>
      </c>
      <c r="F22" s="18">
        <f t="shared" ref="F22:F25" si="5">SUM(G22:H22)</f>
        <v>1667</v>
      </c>
      <c r="G22" s="593">
        <v>827</v>
      </c>
      <c r="H22" s="526">
        <v>840</v>
      </c>
      <c r="I22" s="601">
        <v>71</v>
      </c>
      <c r="J22" s="18">
        <f>K22+L22</f>
        <v>598</v>
      </c>
      <c r="K22" s="593">
        <v>287</v>
      </c>
      <c r="L22" s="526">
        <v>311</v>
      </c>
      <c r="M22" s="601">
        <v>101</v>
      </c>
      <c r="N22" s="18">
        <f>O22+P22</f>
        <v>18</v>
      </c>
      <c r="O22" s="593">
        <v>2</v>
      </c>
      <c r="P22" s="527">
        <v>16</v>
      </c>
    </row>
    <row r="23" spans="1:16" ht="16.5" customHeight="1" x14ac:dyDescent="0.15">
      <c r="A23" s="211">
        <v>12</v>
      </c>
      <c r="B23" s="18">
        <f t="shared" si="4"/>
        <v>1295</v>
      </c>
      <c r="C23" s="593">
        <v>666</v>
      </c>
      <c r="D23" s="526">
        <v>629</v>
      </c>
      <c r="E23" s="601">
        <v>42</v>
      </c>
      <c r="F23" s="18">
        <f t="shared" si="5"/>
        <v>1766</v>
      </c>
      <c r="G23" s="593">
        <v>882</v>
      </c>
      <c r="H23" s="526">
        <v>884</v>
      </c>
      <c r="I23" s="601">
        <v>72</v>
      </c>
      <c r="J23" s="18">
        <f>K23+L23</f>
        <v>557</v>
      </c>
      <c r="K23" s="593">
        <v>264</v>
      </c>
      <c r="L23" s="526">
        <v>293</v>
      </c>
      <c r="M23" s="601">
        <v>102</v>
      </c>
      <c r="N23" s="18">
        <f>O23+P23</f>
        <v>6</v>
      </c>
      <c r="O23" s="593">
        <v>1</v>
      </c>
      <c r="P23" s="527">
        <v>5</v>
      </c>
    </row>
    <row r="24" spans="1:16" ht="16.5" customHeight="1" x14ac:dyDescent="0.15">
      <c r="A24" s="211">
        <v>13</v>
      </c>
      <c r="B24" s="18">
        <f t="shared" si="4"/>
        <v>1381</v>
      </c>
      <c r="C24" s="593">
        <v>719</v>
      </c>
      <c r="D24" s="526">
        <v>662</v>
      </c>
      <c r="E24" s="601">
        <v>43</v>
      </c>
      <c r="F24" s="18">
        <f t="shared" si="5"/>
        <v>1920</v>
      </c>
      <c r="G24" s="593">
        <v>948</v>
      </c>
      <c r="H24" s="526">
        <v>972</v>
      </c>
      <c r="I24" s="601">
        <v>73</v>
      </c>
      <c r="J24" s="18">
        <f>K24+L24</f>
        <v>786</v>
      </c>
      <c r="K24" s="593">
        <v>363</v>
      </c>
      <c r="L24" s="526">
        <v>423</v>
      </c>
      <c r="M24" s="601">
        <v>103</v>
      </c>
      <c r="N24" s="18">
        <f>O24+P24</f>
        <v>6</v>
      </c>
      <c r="O24" s="593">
        <v>3</v>
      </c>
      <c r="P24" s="527">
        <v>3</v>
      </c>
    </row>
    <row r="25" spans="1:16" ht="16.5" customHeight="1" x14ac:dyDescent="0.15">
      <c r="A25" s="211">
        <v>14</v>
      </c>
      <c r="B25" s="18">
        <f t="shared" si="4"/>
        <v>1413</v>
      </c>
      <c r="C25" s="593">
        <v>736</v>
      </c>
      <c r="D25" s="526">
        <v>677</v>
      </c>
      <c r="E25" s="601">
        <v>44</v>
      </c>
      <c r="F25" s="18">
        <f t="shared" si="5"/>
        <v>1905</v>
      </c>
      <c r="G25" s="593">
        <v>908</v>
      </c>
      <c r="H25" s="526">
        <v>997</v>
      </c>
      <c r="I25" s="601">
        <v>74</v>
      </c>
      <c r="J25" s="18">
        <f>K25+L25</f>
        <v>851</v>
      </c>
      <c r="K25" s="593">
        <v>389</v>
      </c>
      <c r="L25" s="526">
        <v>462</v>
      </c>
      <c r="M25" s="601">
        <v>104</v>
      </c>
      <c r="N25" s="18">
        <f>O25+P25</f>
        <v>5</v>
      </c>
      <c r="O25" s="530">
        <v>0</v>
      </c>
      <c r="P25" s="527">
        <v>5</v>
      </c>
    </row>
    <row r="26" spans="1:16" ht="16.5" customHeight="1" x14ac:dyDescent="0.15">
      <c r="A26" s="213" t="s">
        <v>53</v>
      </c>
      <c r="B26" s="524">
        <f>SUM(B21:B25)</f>
        <v>6939</v>
      </c>
      <c r="C26" s="595">
        <f>SUM(C21:C25)</f>
        <v>3585</v>
      </c>
      <c r="D26" s="595">
        <f>SUM(D21:D25)</f>
        <v>3354</v>
      </c>
      <c r="E26" s="15" t="s">
        <v>54</v>
      </c>
      <c r="F26" s="524">
        <f>SUM(F21:F25)</f>
        <v>8853</v>
      </c>
      <c r="G26" s="595">
        <f>SUM(G21:G25)</f>
        <v>4336</v>
      </c>
      <c r="H26" s="528">
        <f>SUM(H21:H25)</f>
        <v>4517</v>
      </c>
      <c r="I26" s="19" t="s">
        <v>55</v>
      </c>
      <c r="J26" s="524">
        <f>SUM(J21:J25)</f>
        <v>4049</v>
      </c>
      <c r="K26" s="595">
        <f>SUM(K21:K25)</f>
        <v>1913</v>
      </c>
      <c r="L26" s="595">
        <f>SUM(L21:L25)</f>
        <v>2136</v>
      </c>
      <c r="M26" s="15" t="s">
        <v>56</v>
      </c>
      <c r="N26" s="524">
        <f>SUM(N21:N25)</f>
        <v>59</v>
      </c>
      <c r="O26" s="595">
        <f>SUM(O21:O25)</f>
        <v>7</v>
      </c>
      <c r="P26" s="529">
        <f>SUM(P21:P25)</f>
        <v>52</v>
      </c>
    </row>
    <row r="27" spans="1:16" ht="16.5" customHeight="1" x14ac:dyDescent="0.15">
      <c r="A27" s="212"/>
      <c r="B27" s="18"/>
      <c r="C27" s="593"/>
      <c r="D27" s="526"/>
      <c r="E27" s="16"/>
      <c r="F27" s="18"/>
      <c r="G27" s="593"/>
      <c r="H27" s="526"/>
      <c r="I27" s="16"/>
      <c r="J27" s="18"/>
      <c r="K27" s="593"/>
      <c r="L27" s="526"/>
      <c r="M27" s="16"/>
      <c r="N27" s="18"/>
      <c r="O27" s="593"/>
      <c r="P27" s="527"/>
    </row>
    <row r="28" spans="1:16" ht="16.5" customHeight="1" x14ac:dyDescent="0.15">
      <c r="A28" s="211">
        <v>15</v>
      </c>
      <c r="B28" s="18">
        <f>SUM(C28:D28)</f>
        <v>1406</v>
      </c>
      <c r="C28" s="593">
        <v>720</v>
      </c>
      <c r="D28" s="526">
        <v>686</v>
      </c>
      <c r="E28" s="601">
        <v>45</v>
      </c>
      <c r="F28" s="18">
        <f>SUM(G28:H28)</f>
        <v>1833</v>
      </c>
      <c r="G28" s="593">
        <v>936</v>
      </c>
      <c r="H28" s="526">
        <v>897</v>
      </c>
      <c r="I28" s="601">
        <v>75</v>
      </c>
      <c r="J28" s="18">
        <f>K28+L28</f>
        <v>808</v>
      </c>
      <c r="K28" s="593">
        <v>371</v>
      </c>
      <c r="L28" s="526">
        <v>437</v>
      </c>
      <c r="M28" s="15" t="s">
        <v>57</v>
      </c>
      <c r="N28" s="524">
        <f>SUM(O28:P28)</f>
        <v>2</v>
      </c>
      <c r="O28" s="638">
        <v>0</v>
      </c>
      <c r="P28" s="529">
        <v>2</v>
      </c>
    </row>
    <row r="29" spans="1:16" ht="16.5" customHeight="1" x14ac:dyDescent="0.15">
      <c r="A29" s="211">
        <v>16</v>
      </c>
      <c r="B29" s="18">
        <f t="shared" ref="B29:B32" si="6">SUM(C29:D29)</f>
        <v>1471</v>
      </c>
      <c r="C29" s="593">
        <v>741</v>
      </c>
      <c r="D29" s="526">
        <v>730</v>
      </c>
      <c r="E29" s="601">
        <v>46</v>
      </c>
      <c r="F29" s="18">
        <f t="shared" ref="F29:F32" si="7">SUM(G29:H29)</f>
        <v>1773</v>
      </c>
      <c r="G29" s="593">
        <v>854</v>
      </c>
      <c r="H29" s="526">
        <v>919</v>
      </c>
      <c r="I29" s="601">
        <v>76</v>
      </c>
      <c r="J29" s="18">
        <f>K29+L29</f>
        <v>944</v>
      </c>
      <c r="K29" s="593">
        <v>418</v>
      </c>
      <c r="L29" s="526">
        <v>526</v>
      </c>
      <c r="M29" s="16"/>
      <c r="N29" s="18"/>
      <c r="O29" s="593"/>
      <c r="P29" s="527"/>
    </row>
    <row r="30" spans="1:16" ht="16.5" customHeight="1" x14ac:dyDescent="0.15">
      <c r="A30" s="211">
        <v>17</v>
      </c>
      <c r="B30" s="18">
        <f t="shared" si="6"/>
        <v>1403</v>
      </c>
      <c r="C30" s="593">
        <v>698</v>
      </c>
      <c r="D30" s="526">
        <v>705</v>
      </c>
      <c r="E30" s="601">
        <v>47</v>
      </c>
      <c r="F30" s="18">
        <f t="shared" si="7"/>
        <v>1674</v>
      </c>
      <c r="G30" s="593">
        <v>798</v>
      </c>
      <c r="H30" s="526">
        <v>876</v>
      </c>
      <c r="I30" s="601">
        <v>77</v>
      </c>
      <c r="J30" s="18">
        <f>K30+L30</f>
        <v>867</v>
      </c>
      <c r="K30" s="593">
        <v>406</v>
      </c>
      <c r="L30" s="526">
        <v>461</v>
      </c>
      <c r="M30" s="16"/>
      <c r="N30" s="18"/>
      <c r="O30" s="593"/>
      <c r="P30" s="527"/>
    </row>
    <row r="31" spans="1:16" ht="16.5" customHeight="1" x14ac:dyDescent="0.15">
      <c r="A31" s="211">
        <v>18</v>
      </c>
      <c r="B31" s="18">
        <f t="shared" si="6"/>
        <v>1369</v>
      </c>
      <c r="C31" s="593">
        <v>691</v>
      </c>
      <c r="D31" s="526">
        <v>678</v>
      </c>
      <c r="E31" s="601">
        <v>48</v>
      </c>
      <c r="F31" s="18">
        <f t="shared" si="7"/>
        <v>1667</v>
      </c>
      <c r="G31" s="593">
        <v>843</v>
      </c>
      <c r="H31" s="526">
        <v>824</v>
      </c>
      <c r="I31" s="601">
        <v>78</v>
      </c>
      <c r="J31" s="18">
        <f>K31+L31</f>
        <v>817</v>
      </c>
      <c r="K31" s="593">
        <v>370</v>
      </c>
      <c r="L31" s="526">
        <v>447</v>
      </c>
      <c r="M31" s="16" t="s">
        <v>58</v>
      </c>
      <c r="N31" s="18"/>
      <c r="O31" s="593"/>
      <c r="P31" s="527"/>
    </row>
    <row r="32" spans="1:16" ht="16.5" customHeight="1" x14ac:dyDescent="0.15">
      <c r="A32" s="211">
        <v>19</v>
      </c>
      <c r="B32" s="18">
        <f t="shared" si="6"/>
        <v>1345</v>
      </c>
      <c r="C32" s="593">
        <v>701</v>
      </c>
      <c r="D32" s="526">
        <v>644</v>
      </c>
      <c r="E32" s="601">
        <v>49</v>
      </c>
      <c r="F32" s="18">
        <f t="shared" si="7"/>
        <v>1726</v>
      </c>
      <c r="G32" s="593">
        <v>836</v>
      </c>
      <c r="H32" s="526">
        <v>890</v>
      </c>
      <c r="I32" s="601">
        <v>79</v>
      </c>
      <c r="J32" s="18">
        <f>K32+L32</f>
        <v>742</v>
      </c>
      <c r="K32" s="593">
        <v>354</v>
      </c>
      <c r="L32" s="526">
        <v>388</v>
      </c>
      <c r="M32" s="16" t="s">
        <v>59</v>
      </c>
      <c r="N32" s="18">
        <f>SUM(O32:P32)</f>
        <v>86895</v>
      </c>
      <c r="O32" s="593">
        <f>SUM(C40+C47+G12+G19+G26+G33+G40+G47+K12+K19+K26+K33+K40+K47+O12+O19+O26+O28)</f>
        <v>41798</v>
      </c>
      <c r="P32" s="527">
        <f>SUM(D40+D47+H12+H19+H26+H33+H40+H47+L12+L19+L26+L33+L40+L47+P12+P19+P26+P28)</f>
        <v>45097</v>
      </c>
    </row>
    <row r="33" spans="1:19" ht="16.5" customHeight="1" x14ac:dyDescent="0.15">
      <c r="A33" s="213" t="s">
        <v>60</v>
      </c>
      <c r="B33" s="524">
        <f>SUM(B28:B32)</f>
        <v>6994</v>
      </c>
      <c r="C33" s="595">
        <f>SUM(C28:C32)</f>
        <v>3551</v>
      </c>
      <c r="D33" s="595">
        <f>SUM(D28:D32)</f>
        <v>3443</v>
      </c>
      <c r="E33" s="15" t="s">
        <v>61</v>
      </c>
      <c r="F33" s="524">
        <f>SUM(F28:F32)</f>
        <v>8673</v>
      </c>
      <c r="G33" s="595">
        <f>SUM(G28:G32)</f>
        <v>4267</v>
      </c>
      <c r="H33" s="528">
        <f>SUM(H28:H32)</f>
        <v>4406</v>
      </c>
      <c r="I33" s="15" t="s">
        <v>62</v>
      </c>
      <c r="J33" s="524">
        <f>SUM(J28:J32)</f>
        <v>4178</v>
      </c>
      <c r="K33" s="595">
        <f>SUM(K28:K32)</f>
        <v>1919</v>
      </c>
      <c r="L33" s="595">
        <f>SUM(L28:L32)</f>
        <v>2259</v>
      </c>
      <c r="M33" s="16" t="s">
        <v>63</v>
      </c>
      <c r="N33" s="18">
        <f>SUM(O33:P33)</f>
        <v>52010</v>
      </c>
      <c r="O33" s="593">
        <f>SUM(C33+C40+C47+G12+G19+G26+G33)</f>
        <v>25879</v>
      </c>
      <c r="P33" s="527">
        <f>SUM(D33+D40+D47+H12+H19+H26+H33)</f>
        <v>26131</v>
      </c>
    </row>
    <row r="34" spans="1:19" ht="16.5" customHeight="1" x14ac:dyDescent="0.15">
      <c r="A34" s="212"/>
      <c r="B34" s="18"/>
      <c r="C34" s="593"/>
      <c r="D34" s="526"/>
      <c r="E34" s="16"/>
      <c r="F34" s="18"/>
      <c r="G34" s="593"/>
      <c r="H34" s="526"/>
      <c r="I34" s="16"/>
      <c r="J34" s="18"/>
      <c r="K34" s="593"/>
      <c r="L34" s="526"/>
      <c r="M34" s="16" t="s">
        <v>64</v>
      </c>
      <c r="N34" s="18">
        <f>SUM(O34:P34)</f>
        <v>27619</v>
      </c>
      <c r="O34" s="593">
        <f>SUM(K12+K19+K26+K33+K40+K47+O12+O19+O26+O28)</f>
        <v>12507</v>
      </c>
      <c r="P34" s="527">
        <f>SUM(L12+L19+L26+L33+L40+L47+P12+P19+P26+P28)</f>
        <v>15112</v>
      </c>
    </row>
    <row r="35" spans="1:19" ht="16.5" customHeight="1" x14ac:dyDescent="0.15">
      <c r="A35" s="211">
        <v>20</v>
      </c>
      <c r="B35" s="18">
        <f>SUM(C35:D35)</f>
        <v>1301</v>
      </c>
      <c r="C35" s="593">
        <v>666</v>
      </c>
      <c r="D35" s="526">
        <v>635</v>
      </c>
      <c r="E35" s="601">
        <v>50</v>
      </c>
      <c r="F35" s="18">
        <f>SUM(G35:H35)</f>
        <v>1723</v>
      </c>
      <c r="G35" s="593">
        <v>849</v>
      </c>
      <c r="H35" s="526">
        <v>874</v>
      </c>
      <c r="I35" s="601">
        <v>80</v>
      </c>
      <c r="J35" s="18">
        <f>K35+L35</f>
        <v>725</v>
      </c>
      <c r="K35" s="593">
        <v>307</v>
      </c>
      <c r="L35" s="526">
        <v>418</v>
      </c>
      <c r="M35" s="16" t="s">
        <v>65</v>
      </c>
      <c r="N35" s="18">
        <f>SUM(O35:P35)</f>
        <v>14149</v>
      </c>
      <c r="O35" s="593">
        <f>SUM(K26+K33+K40+K47+O12+O19+O26+O28)</f>
        <v>5985</v>
      </c>
      <c r="P35" s="527">
        <f>SUM(L26+L33+L40+L47+P12+P19+P26+P28)</f>
        <v>8164</v>
      </c>
    </row>
    <row r="36" spans="1:19" ht="16.5" customHeight="1" x14ac:dyDescent="0.15">
      <c r="A36" s="211">
        <v>21</v>
      </c>
      <c r="B36" s="18">
        <f t="shared" ref="B36:B39" si="8">SUM(C36:D36)</f>
        <v>1209</v>
      </c>
      <c r="C36" s="593">
        <v>651</v>
      </c>
      <c r="D36" s="526">
        <v>558</v>
      </c>
      <c r="E36" s="601">
        <v>51</v>
      </c>
      <c r="F36" s="18">
        <f t="shared" ref="F36:F39" si="9">SUM(G36:H36)</f>
        <v>1329</v>
      </c>
      <c r="G36" s="593">
        <v>631</v>
      </c>
      <c r="H36" s="526">
        <v>698</v>
      </c>
      <c r="I36" s="601">
        <v>81</v>
      </c>
      <c r="J36" s="18">
        <f>K36+L36</f>
        <v>712</v>
      </c>
      <c r="K36" s="593">
        <v>304</v>
      </c>
      <c r="L36" s="526">
        <v>408</v>
      </c>
      <c r="M36" s="16" t="s">
        <v>66</v>
      </c>
      <c r="N36" s="18">
        <f>SUM(O36:P36)</f>
        <v>10100</v>
      </c>
      <c r="O36" s="593">
        <f>SUM(K33+K40+K47+O12+O19+O26+O28)</f>
        <v>4072</v>
      </c>
      <c r="P36" s="527">
        <f>SUM(L33+L40+L47+P12+P19+P26+P28)</f>
        <v>6028</v>
      </c>
      <c r="R36" s="615"/>
      <c r="S36" s="615"/>
    </row>
    <row r="37" spans="1:19" ht="16.5" customHeight="1" x14ac:dyDescent="0.15">
      <c r="A37" s="211">
        <v>22</v>
      </c>
      <c r="B37" s="18">
        <f t="shared" si="8"/>
        <v>1268</v>
      </c>
      <c r="C37" s="593">
        <v>635</v>
      </c>
      <c r="D37" s="526">
        <v>633</v>
      </c>
      <c r="E37" s="601">
        <v>52</v>
      </c>
      <c r="F37" s="18">
        <f t="shared" si="9"/>
        <v>1407</v>
      </c>
      <c r="G37" s="593">
        <v>681</v>
      </c>
      <c r="H37" s="526">
        <v>726</v>
      </c>
      <c r="I37" s="601">
        <v>82</v>
      </c>
      <c r="J37" s="18">
        <f>K37+L37</f>
        <v>641</v>
      </c>
      <c r="K37" s="593">
        <v>266</v>
      </c>
      <c r="L37" s="526">
        <v>375</v>
      </c>
      <c r="M37" s="16"/>
      <c r="N37" s="18"/>
      <c r="O37" s="593"/>
      <c r="P37" s="527"/>
    </row>
    <row r="38" spans="1:19" ht="16.5" customHeight="1" x14ac:dyDescent="0.15">
      <c r="A38" s="211">
        <v>23</v>
      </c>
      <c r="B38" s="18">
        <f t="shared" si="8"/>
        <v>1208</v>
      </c>
      <c r="C38" s="593">
        <v>626</v>
      </c>
      <c r="D38" s="526">
        <v>582</v>
      </c>
      <c r="E38" s="601">
        <v>53</v>
      </c>
      <c r="F38" s="18">
        <f t="shared" si="9"/>
        <v>1456</v>
      </c>
      <c r="G38" s="593">
        <v>727</v>
      </c>
      <c r="H38" s="526">
        <v>729</v>
      </c>
      <c r="I38" s="601">
        <v>83</v>
      </c>
      <c r="J38" s="18">
        <f>K38+L38</f>
        <v>603</v>
      </c>
      <c r="K38" s="593">
        <v>233</v>
      </c>
      <c r="L38" s="526">
        <v>370</v>
      </c>
      <c r="M38" s="16" t="s">
        <v>67</v>
      </c>
      <c r="N38" s="18">
        <f>SUM(O38:P38)</f>
        <v>20483</v>
      </c>
      <c r="O38" s="593">
        <f>SUM(C12+C19+C26)</f>
        <v>10433</v>
      </c>
      <c r="P38" s="527">
        <f>SUM(D12+D19+D26)</f>
        <v>10050</v>
      </c>
    </row>
    <row r="39" spans="1:19" ht="16.5" customHeight="1" x14ac:dyDescent="0.15">
      <c r="A39" s="211">
        <v>24</v>
      </c>
      <c r="B39" s="18">
        <f t="shared" si="8"/>
        <v>1248</v>
      </c>
      <c r="C39" s="593">
        <v>645</v>
      </c>
      <c r="D39" s="526">
        <v>603</v>
      </c>
      <c r="E39" s="601">
        <v>54</v>
      </c>
      <c r="F39" s="18">
        <f t="shared" si="9"/>
        <v>1477</v>
      </c>
      <c r="G39" s="593">
        <v>692</v>
      </c>
      <c r="H39" s="526">
        <v>785</v>
      </c>
      <c r="I39" s="601">
        <v>84</v>
      </c>
      <c r="J39" s="18">
        <f>K39+L39</f>
        <v>503</v>
      </c>
      <c r="K39" s="593">
        <v>211</v>
      </c>
      <c r="L39" s="526">
        <v>292</v>
      </c>
      <c r="M39" s="16" t="s">
        <v>68</v>
      </c>
      <c r="N39" s="18">
        <f>SUM(O39:P39)</f>
        <v>72830</v>
      </c>
      <c r="O39" s="593">
        <f>SUM(C33+C40+C47+G12+G19+G26+G33+G40+G47+K12)</f>
        <v>36027</v>
      </c>
      <c r="P39" s="527">
        <f>SUM(D33+D40+D47+H12+H19+H26+H33+H40+H47+L12)</f>
        <v>36803</v>
      </c>
    </row>
    <row r="40" spans="1:19" ht="16.5" customHeight="1" x14ac:dyDescent="0.15">
      <c r="A40" s="213" t="s">
        <v>69</v>
      </c>
      <c r="B40" s="524">
        <f>SUM(B35:B39)</f>
        <v>6234</v>
      </c>
      <c r="C40" s="595">
        <f>SUM(C35:C39)</f>
        <v>3223</v>
      </c>
      <c r="D40" s="595">
        <f>SUM(D35:D39)</f>
        <v>3011</v>
      </c>
      <c r="E40" s="15" t="s">
        <v>70</v>
      </c>
      <c r="F40" s="524">
        <f>SUM(F35:F39)</f>
        <v>7392</v>
      </c>
      <c r="G40" s="595">
        <f>SUM(G35:G39)</f>
        <v>3580</v>
      </c>
      <c r="H40" s="528">
        <f>SUM(H35:H39)</f>
        <v>3812</v>
      </c>
      <c r="I40" s="15" t="s">
        <v>71</v>
      </c>
      <c r="J40" s="524">
        <f>SUM(J35:J39)</f>
        <v>3184</v>
      </c>
      <c r="K40" s="595">
        <f>SUM(K35:K39)</f>
        <v>1321</v>
      </c>
      <c r="L40" s="595">
        <f>SUM(L35:L39)</f>
        <v>1863</v>
      </c>
      <c r="M40" s="16" t="s">
        <v>72</v>
      </c>
      <c r="N40" s="18">
        <f>SUM(O40:P40)</f>
        <v>21059</v>
      </c>
      <c r="O40" s="593">
        <f>SUM(K19+K26+K33+K40+K47+O12+O19+O26+O28)</f>
        <v>9322</v>
      </c>
      <c r="P40" s="527">
        <f>SUM(L19+L26+L33+L40+L47+P12+P19+P26+P28)</f>
        <v>11737</v>
      </c>
    </row>
    <row r="41" spans="1:19" ht="16.5" customHeight="1" x14ac:dyDescent="0.15">
      <c r="A41" s="212"/>
      <c r="B41" s="18"/>
      <c r="C41" s="593"/>
      <c r="D41" s="526"/>
      <c r="E41" s="16"/>
      <c r="F41" s="18"/>
      <c r="G41" s="593"/>
      <c r="H41" s="526"/>
      <c r="I41" s="16"/>
      <c r="J41" s="18"/>
      <c r="K41" s="593"/>
      <c r="L41" s="526"/>
      <c r="M41" s="16"/>
      <c r="N41" s="16"/>
      <c r="O41" s="520"/>
      <c r="P41" s="201"/>
    </row>
    <row r="42" spans="1:19" ht="16.5" customHeight="1" x14ac:dyDescent="0.15">
      <c r="A42" s="211">
        <v>25</v>
      </c>
      <c r="B42" s="18">
        <f>SUM(C42:D42)</f>
        <v>1214</v>
      </c>
      <c r="C42" s="593">
        <v>622</v>
      </c>
      <c r="D42" s="526">
        <v>592</v>
      </c>
      <c r="E42" s="601">
        <v>55</v>
      </c>
      <c r="F42" s="18">
        <f>SUM(G42:H42)</f>
        <v>1371</v>
      </c>
      <c r="G42" s="593">
        <v>654</v>
      </c>
      <c r="H42" s="526">
        <v>717</v>
      </c>
      <c r="I42" s="601">
        <v>85</v>
      </c>
      <c r="J42" s="18">
        <f>K42+L42</f>
        <v>486</v>
      </c>
      <c r="K42" s="593">
        <v>179</v>
      </c>
      <c r="L42" s="526">
        <v>307</v>
      </c>
      <c r="M42" s="601" t="s">
        <v>73</v>
      </c>
      <c r="N42" s="16"/>
      <c r="O42" s="520"/>
      <c r="P42" s="201"/>
    </row>
    <row r="43" spans="1:19" ht="16.5" customHeight="1" x14ac:dyDescent="0.15">
      <c r="A43" s="211">
        <v>26</v>
      </c>
      <c r="B43" s="18">
        <f t="shared" ref="B43:B46" si="10">SUM(C43:D43)</f>
        <v>1279</v>
      </c>
      <c r="C43" s="593">
        <v>641</v>
      </c>
      <c r="D43" s="526">
        <v>638</v>
      </c>
      <c r="E43" s="601">
        <v>56</v>
      </c>
      <c r="F43" s="18">
        <f t="shared" ref="F43:F46" si="11">SUM(G43:H43)</f>
        <v>1440</v>
      </c>
      <c r="G43" s="593">
        <v>697</v>
      </c>
      <c r="H43" s="526">
        <v>743</v>
      </c>
      <c r="I43" s="601">
        <v>86</v>
      </c>
      <c r="J43" s="18">
        <f>K43+L43</f>
        <v>366</v>
      </c>
      <c r="K43" s="593">
        <v>126</v>
      </c>
      <c r="L43" s="526">
        <v>240</v>
      </c>
      <c r="M43" s="16" t="s">
        <v>67</v>
      </c>
      <c r="N43" s="531">
        <f>N38/$B$5</f>
        <v>0.17909103626761794</v>
      </c>
      <c r="O43" s="532">
        <f>O38/$B$5</f>
        <v>9.1219878991361525E-2</v>
      </c>
      <c r="P43" s="533">
        <f t="shared" ref="N43:P45" si="12">P38/$B$5</f>
        <v>8.7871157276256426E-2</v>
      </c>
    </row>
    <row r="44" spans="1:19" ht="16.5" customHeight="1" x14ac:dyDescent="0.15">
      <c r="A44" s="211">
        <v>27</v>
      </c>
      <c r="B44" s="18">
        <f t="shared" si="10"/>
        <v>1246</v>
      </c>
      <c r="C44" s="593">
        <v>643</v>
      </c>
      <c r="D44" s="526">
        <v>603</v>
      </c>
      <c r="E44" s="601">
        <v>57</v>
      </c>
      <c r="F44" s="18">
        <f t="shared" si="11"/>
        <v>1381</v>
      </c>
      <c r="G44" s="593">
        <v>701</v>
      </c>
      <c r="H44" s="526">
        <v>680</v>
      </c>
      <c r="I44" s="601">
        <v>87</v>
      </c>
      <c r="J44" s="18">
        <f>K44+L44</f>
        <v>331</v>
      </c>
      <c r="K44" s="593">
        <v>123</v>
      </c>
      <c r="L44" s="526">
        <v>208</v>
      </c>
      <c r="M44" s="16" t="s">
        <v>68</v>
      </c>
      <c r="N44" s="531">
        <f t="shared" si="12"/>
        <v>0.63678172979400549</v>
      </c>
      <c r="O44" s="532">
        <f t="shared" si="12"/>
        <v>0.31499842618822788</v>
      </c>
      <c r="P44" s="533">
        <f t="shared" si="12"/>
        <v>0.32178330360577762</v>
      </c>
    </row>
    <row r="45" spans="1:19" ht="16.5" customHeight="1" x14ac:dyDescent="0.15">
      <c r="A45" s="211">
        <v>28</v>
      </c>
      <c r="B45" s="18">
        <f t="shared" si="10"/>
        <v>1272</v>
      </c>
      <c r="C45" s="593">
        <v>623</v>
      </c>
      <c r="D45" s="526">
        <v>649</v>
      </c>
      <c r="E45" s="601">
        <v>58</v>
      </c>
      <c r="F45" s="18">
        <f t="shared" si="11"/>
        <v>1331</v>
      </c>
      <c r="G45" s="593">
        <v>656</v>
      </c>
      <c r="H45" s="526">
        <v>675</v>
      </c>
      <c r="I45" s="601">
        <v>88</v>
      </c>
      <c r="J45" s="18">
        <f>K45+L45</f>
        <v>284</v>
      </c>
      <c r="K45" s="593">
        <v>92</v>
      </c>
      <c r="L45" s="526">
        <v>192</v>
      </c>
      <c r="M45" s="16" t="s">
        <v>72</v>
      </c>
      <c r="N45" s="531">
        <f t="shared" si="12"/>
        <v>0.18412723393837652</v>
      </c>
      <c r="O45" s="532">
        <f t="shared" si="12"/>
        <v>8.1505962997936554E-2</v>
      </c>
      <c r="P45" s="533">
        <f t="shared" si="12"/>
        <v>0.10262127094043996</v>
      </c>
    </row>
    <row r="46" spans="1:19" ht="16.5" customHeight="1" x14ac:dyDescent="0.15">
      <c r="A46" s="211">
        <v>29</v>
      </c>
      <c r="B46" s="18">
        <f t="shared" si="10"/>
        <v>1311</v>
      </c>
      <c r="C46" s="593">
        <v>657</v>
      </c>
      <c r="D46" s="526">
        <v>654</v>
      </c>
      <c r="E46" s="601">
        <v>59</v>
      </c>
      <c r="F46" s="18">
        <f t="shared" si="11"/>
        <v>1345</v>
      </c>
      <c r="G46" s="593">
        <v>675</v>
      </c>
      <c r="H46" s="526">
        <v>670</v>
      </c>
      <c r="I46" s="601">
        <v>89</v>
      </c>
      <c r="J46" s="18">
        <f>K46+L46</f>
        <v>268</v>
      </c>
      <c r="K46" s="593">
        <v>83</v>
      </c>
      <c r="L46" s="526">
        <v>185</v>
      </c>
      <c r="M46" s="16"/>
      <c r="N46" s="534"/>
      <c r="O46" s="535"/>
      <c r="P46" s="536"/>
    </row>
    <row r="47" spans="1:19" ht="16.5" customHeight="1" x14ac:dyDescent="0.15">
      <c r="A47" s="213" t="s">
        <v>74</v>
      </c>
      <c r="B47" s="524">
        <f>SUM(B42:B46)</f>
        <v>6322</v>
      </c>
      <c r="C47" s="595">
        <f>SUM(C42:C46)</f>
        <v>3186</v>
      </c>
      <c r="D47" s="595">
        <f>SUM(D42:D46)</f>
        <v>3136</v>
      </c>
      <c r="E47" s="15" t="s">
        <v>75</v>
      </c>
      <c r="F47" s="524">
        <f>SUM(F42:F46)</f>
        <v>6868</v>
      </c>
      <c r="G47" s="595">
        <f>SUM(G42:G46)</f>
        <v>3383</v>
      </c>
      <c r="H47" s="528">
        <f>SUM(H42:H46)</f>
        <v>3485</v>
      </c>
      <c r="I47" s="15" t="s">
        <v>76</v>
      </c>
      <c r="J47" s="524">
        <f>SUM(J42:J46)</f>
        <v>1735</v>
      </c>
      <c r="K47" s="595">
        <f>SUM(K42:K46)</f>
        <v>603</v>
      </c>
      <c r="L47" s="595">
        <f>SUM(L42:L46)</f>
        <v>1132</v>
      </c>
      <c r="M47" s="16" t="s">
        <v>77</v>
      </c>
      <c r="N47" s="574">
        <v>40</v>
      </c>
      <c r="O47" s="575">
        <v>39.33</v>
      </c>
      <c r="P47" s="576">
        <v>41</v>
      </c>
    </row>
    <row r="48" spans="1:19" ht="16.5" customHeight="1" thickBot="1" x14ac:dyDescent="0.2">
      <c r="A48" s="217"/>
      <c r="B48" s="537"/>
      <c r="C48" s="599"/>
      <c r="D48" s="538"/>
      <c r="E48" s="218"/>
      <c r="F48" s="537"/>
      <c r="G48" s="599"/>
      <c r="H48" s="538"/>
      <c r="I48" s="218"/>
      <c r="J48" s="218"/>
      <c r="K48" s="539"/>
      <c r="L48" s="540"/>
      <c r="M48" s="218"/>
      <c r="N48" s="218"/>
      <c r="O48" s="539"/>
      <c r="P48" s="541"/>
    </row>
    <row r="49" spans="1:16" ht="18" customHeight="1" x14ac:dyDescent="0.15">
      <c r="A49" s="13" t="s">
        <v>78</v>
      </c>
      <c r="B49" s="613"/>
      <c r="C49" s="613"/>
      <c r="D49" s="613"/>
      <c r="E49" s="13"/>
      <c r="F49" s="613"/>
      <c r="G49" s="613"/>
      <c r="H49" s="613"/>
      <c r="I49" s="616"/>
      <c r="J49" s="617"/>
      <c r="K49" s="617"/>
      <c r="L49" s="613"/>
      <c r="M49" s="13"/>
      <c r="N49" s="617"/>
      <c r="P49" s="14" t="s">
        <v>658</v>
      </c>
    </row>
  </sheetData>
  <sheetProtection sheet="1" objects="1" scenarios="1"/>
  <phoneticPr fontId="18"/>
  <printOptions horizontalCentered="1"/>
  <pageMargins left="0.59055118110236227" right="0.39370078740157483"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8"/>
  <sheetViews>
    <sheetView view="pageBreakPreview" zoomScaleNormal="120" zoomScaleSheetLayoutView="100" workbookViewId="0">
      <pane ySplit="5" topLeftCell="A6" activePane="bottomLeft" state="frozen"/>
      <selection activeCell="K250" sqref="K250"/>
      <selection pane="bottomLeft" activeCell="K250" sqref="K250"/>
    </sheetView>
  </sheetViews>
  <sheetFormatPr defaultRowHeight="14.1" customHeight="1" x14ac:dyDescent="0.15"/>
  <cols>
    <col min="1" max="1" width="2.875" style="640" customWidth="1"/>
    <col min="2" max="2" width="14.125" style="640" customWidth="1"/>
    <col min="3" max="3" width="9.125" style="640" customWidth="1"/>
    <col min="4" max="4" width="10.375" style="640" customWidth="1"/>
    <col min="5" max="5" width="9.125" style="640" customWidth="1"/>
    <col min="6" max="6" width="10.125" style="640" customWidth="1"/>
    <col min="7" max="8" width="9.125" style="640" customWidth="1"/>
    <col min="9" max="9" width="9" style="640"/>
    <col min="10" max="10" width="9.875" style="640" customWidth="1"/>
    <col min="11" max="16384" width="9" style="640"/>
  </cols>
  <sheetData>
    <row r="1" spans="1:10" ht="4.5" customHeight="1" x14ac:dyDescent="0.15">
      <c r="A1" s="639"/>
      <c r="B1" s="639"/>
      <c r="C1" s="639"/>
      <c r="D1" s="639"/>
      <c r="E1" s="639"/>
      <c r="F1" s="639"/>
      <c r="G1" s="639"/>
      <c r="H1" s="639"/>
      <c r="I1" s="639"/>
      <c r="J1" s="639"/>
    </row>
    <row r="2" spans="1:10" ht="14.1" customHeight="1" thickBot="1" x14ac:dyDescent="0.2">
      <c r="A2" s="639" t="s">
        <v>79</v>
      </c>
      <c r="B2" s="639"/>
      <c r="C2" s="639"/>
      <c r="D2" s="639"/>
      <c r="E2" s="639"/>
      <c r="F2" s="639"/>
      <c r="G2" s="639"/>
      <c r="H2" s="639"/>
      <c r="I2" s="639"/>
      <c r="J2" s="641" t="s">
        <v>80</v>
      </c>
    </row>
    <row r="3" spans="1:10" ht="14.1" customHeight="1" x14ac:dyDescent="0.15">
      <c r="A3" s="816" t="s">
        <v>81</v>
      </c>
      <c r="B3" s="817"/>
      <c r="C3" s="813" t="s">
        <v>18</v>
      </c>
      <c r="D3" s="813" t="s">
        <v>82</v>
      </c>
      <c r="E3" s="813" t="s">
        <v>18</v>
      </c>
      <c r="F3" s="813" t="s">
        <v>685</v>
      </c>
      <c r="G3" s="813"/>
      <c r="H3" s="813"/>
      <c r="I3" s="199" t="s">
        <v>83</v>
      </c>
      <c r="J3" s="200" t="s">
        <v>84</v>
      </c>
    </row>
    <row r="4" spans="1:10" ht="14.1" customHeight="1" x14ac:dyDescent="0.15">
      <c r="A4" s="818"/>
      <c r="B4" s="819"/>
      <c r="C4" s="814"/>
      <c r="D4" s="814"/>
      <c r="E4" s="814"/>
      <c r="F4" s="814"/>
      <c r="G4" s="814"/>
      <c r="H4" s="814"/>
      <c r="I4" s="197" t="s">
        <v>533</v>
      </c>
      <c r="J4" s="201"/>
    </row>
    <row r="5" spans="1:10" ht="14.1" customHeight="1" x14ac:dyDescent="0.15">
      <c r="A5" s="818"/>
      <c r="B5" s="819"/>
      <c r="C5" s="583" t="s">
        <v>682</v>
      </c>
      <c r="D5" s="583" t="s">
        <v>683</v>
      </c>
      <c r="E5" s="583" t="s">
        <v>684</v>
      </c>
      <c r="F5" s="583" t="s">
        <v>33</v>
      </c>
      <c r="G5" s="583" t="s">
        <v>21</v>
      </c>
      <c r="H5" s="583" t="s">
        <v>22</v>
      </c>
      <c r="I5" s="198" t="s">
        <v>85</v>
      </c>
      <c r="J5" s="355" t="s">
        <v>686</v>
      </c>
    </row>
    <row r="6" spans="1:10" ht="14.1" customHeight="1" x14ac:dyDescent="0.15">
      <c r="A6" s="820" t="s">
        <v>86</v>
      </c>
      <c r="B6" s="821"/>
      <c r="C6" s="642">
        <v>48216</v>
      </c>
      <c r="D6" s="542">
        <v>114337</v>
      </c>
      <c r="E6" s="542">
        <f>E7+E14+E22+E28+E33+E39+E47+E55</f>
        <v>48916</v>
      </c>
      <c r="F6" s="542">
        <f>SUM(G6:H6)</f>
        <v>114372</v>
      </c>
      <c r="G6" s="542">
        <f>G7+G14+G22+G28+G33+G39+G47+G55</f>
        <v>55782</v>
      </c>
      <c r="H6" s="542">
        <f>H7+H14+H22+H28+H33+H39+H47+H55</f>
        <v>58590</v>
      </c>
      <c r="I6" s="643">
        <f>F6-D6</f>
        <v>35</v>
      </c>
      <c r="J6" s="644">
        <f>100/$F$6*F6*10</f>
        <v>1000</v>
      </c>
    </row>
    <row r="7" spans="1:10" ht="14.1" customHeight="1" x14ac:dyDescent="0.15">
      <c r="A7" s="822" t="s">
        <v>87</v>
      </c>
      <c r="B7" s="203" t="s">
        <v>88</v>
      </c>
      <c r="C7" s="543">
        <v>3547</v>
      </c>
      <c r="D7" s="543">
        <v>8254</v>
      </c>
      <c r="E7" s="543">
        <f>SUM(E8:E13)</f>
        <v>3551</v>
      </c>
      <c r="F7" s="543">
        <f t="shared" ref="F7:F13" si="0">SUM(G7:H7)</f>
        <v>8212</v>
      </c>
      <c r="G7" s="543">
        <f>SUM(G8:G13)</f>
        <v>3958</v>
      </c>
      <c r="H7" s="543">
        <f>SUM(H8:H13)</f>
        <v>4254</v>
      </c>
      <c r="I7" s="645">
        <f>F7-D7</f>
        <v>-42</v>
      </c>
      <c r="J7" s="646">
        <f>100/$F$6*F7*10</f>
        <v>71.800790403245557</v>
      </c>
    </row>
    <row r="8" spans="1:10" ht="14.1" customHeight="1" x14ac:dyDescent="0.15">
      <c r="A8" s="823"/>
      <c r="B8" s="204" t="s">
        <v>89</v>
      </c>
      <c r="C8" s="431">
        <v>1983</v>
      </c>
      <c r="D8" s="431">
        <v>4530</v>
      </c>
      <c r="E8" s="431">
        <v>1958</v>
      </c>
      <c r="F8" s="431">
        <f t="shared" si="0"/>
        <v>4502</v>
      </c>
      <c r="G8" s="431">
        <v>2204</v>
      </c>
      <c r="H8" s="431">
        <v>2298</v>
      </c>
      <c r="I8" s="647">
        <f>F8-D8</f>
        <v>-28</v>
      </c>
      <c r="J8" s="648">
        <f>100/$F$6*F8*10</f>
        <v>39.362781100269295</v>
      </c>
    </row>
    <row r="9" spans="1:10" ht="14.1" customHeight="1" x14ac:dyDescent="0.15">
      <c r="A9" s="823"/>
      <c r="B9" s="204" t="s">
        <v>90</v>
      </c>
      <c r="C9" s="431">
        <v>146</v>
      </c>
      <c r="D9" s="431">
        <v>325</v>
      </c>
      <c r="E9" s="431">
        <v>144</v>
      </c>
      <c r="F9" s="431">
        <f t="shared" si="0"/>
        <v>320</v>
      </c>
      <c r="G9" s="431">
        <v>154</v>
      </c>
      <c r="H9" s="431">
        <v>166</v>
      </c>
      <c r="I9" s="647">
        <f t="shared" ref="I9:I37" si="1">F9-D9</f>
        <v>-5</v>
      </c>
      <c r="J9" s="648">
        <f t="shared" ref="J9:J55" si="2">100/$F$6*F9*10</f>
        <v>2.7978875948658768</v>
      </c>
    </row>
    <row r="10" spans="1:10" ht="14.1" customHeight="1" x14ac:dyDescent="0.15">
      <c r="A10" s="823"/>
      <c r="B10" s="204" t="s">
        <v>91</v>
      </c>
      <c r="C10" s="431">
        <v>429</v>
      </c>
      <c r="D10" s="431">
        <v>900</v>
      </c>
      <c r="E10" s="431">
        <v>440</v>
      </c>
      <c r="F10" s="431">
        <f t="shared" si="0"/>
        <v>905</v>
      </c>
      <c r="G10" s="431">
        <v>432</v>
      </c>
      <c r="H10" s="431">
        <v>473</v>
      </c>
      <c r="I10" s="647">
        <f t="shared" si="1"/>
        <v>5</v>
      </c>
      <c r="J10" s="648">
        <f t="shared" si="2"/>
        <v>7.9127758542300564</v>
      </c>
    </row>
    <row r="11" spans="1:10" ht="14.1" customHeight="1" x14ac:dyDescent="0.15">
      <c r="A11" s="823"/>
      <c r="B11" s="205" t="s">
        <v>92</v>
      </c>
      <c r="C11" s="431">
        <v>572</v>
      </c>
      <c r="D11" s="431">
        <v>1418</v>
      </c>
      <c r="E11" s="431">
        <v>596</v>
      </c>
      <c r="F11" s="431">
        <f t="shared" si="0"/>
        <v>1424</v>
      </c>
      <c r="G11" s="431">
        <v>682</v>
      </c>
      <c r="H11" s="431">
        <v>742</v>
      </c>
      <c r="I11" s="647">
        <f t="shared" si="1"/>
        <v>6</v>
      </c>
      <c r="J11" s="648">
        <f t="shared" si="2"/>
        <v>12.450599797153149</v>
      </c>
    </row>
    <row r="12" spans="1:10" ht="14.1" customHeight="1" x14ac:dyDescent="0.15">
      <c r="A12" s="823"/>
      <c r="B12" s="204" t="s">
        <v>534</v>
      </c>
      <c r="C12" s="431">
        <v>242</v>
      </c>
      <c r="D12" s="431">
        <v>640</v>
      </c>
      <c r="E12" s="431">
        <v>236</v>
      </c>
      <c r="F12" s="431">
        <f t="shared" si="0"/>
        <v>625</v>
      </c>
      <c r="G12" s="431">
        <v>295</v>
      </c>
      <c r="H12" s="431">
        <v>330</v>
      </c>
      <c r="I12" s="647">
        <f t="shared" si="1"/>
        <v>-15</v>
      </c>
      <c r="J12" s="648">
        <f t="shared" si="2"/>
        <v>5.4646242087224151</v>
      </c>
    </row>
    <row r="13" spans="1:10" ht="14.1" customHeight="1" x14ac:dyDescent="0.15">
      <c r="A13" s="824"/>
      <c r="B13" s="206" t="s">
        <v>93</v>
      </c>
      <c r="C13" s="431">
        <v>175</v>
      </c>
      <c r="D13" s="431">
        <v>441</v>
      </c>
      <c r="E13" s="431">
        <v>177</v>
      </c>
      <c r="F13" s="431">
        <f t="shared" si="0"/>
        <v>436</v>
      </c>
      <c r="G13" s="431">
        <v>191</v>
      </c>
      <c r="H13" s="431">
        <v>245</v>
      </c>
      <c r="I13" s="647">
        <f>F13-D13</f>
        <v>-5</v>
      </c>
      <c r="J13" s="648">
        <f t="shared" si="2"/>
        <v>3.8121218480047565</v>
      </c>
    </row>
    <row r="14" spans="1:10" ht="14.1" customHeight="1" x14ac:dyDescent="0.15">
      <c r="A14" s="822" t="s">
        <v>468</v>
      </c>
      <c r="B14" s="207" t="s">
        <v>88</v>
      </c>
      <c r="C14" s="543">
        <v>8534</v>
      </c>
      <c r="D14" s="543">
        <v>21120</v>
      </c>
      <c r="E14" s="543">
        <f>SUM(E15:E21)</f>
        <v>8657</v>
      </c>
      <c r="F14" s="543">
        <f>SUM(F15:F21)</f>
        <v>21257</v>
      </c>
      <c r="G14" s="543">
        <f>SUM(G15:G21)</f>
        <v>10223</v>
      </c>
      <c r="H14" s="543">
        <f>SUM(H15:H21)</f>
        <v>11034</v>
      </c>
      <c r="I14" s="645">
        <f>F14-D14</f>
        <v>137</v>
      </c>
      <c r="J14" s="646">
        <f t="shared" si="2"/>
        <v>185.85842688769981</v>
      </c>
    </row>
    <row r="15" spans="1:10" ht="14.1" customHeight="1" x14ac:dyDescent="0.15">
      <c r="A15" s="823"/>
      <c r="B15" s="204" t="s">
        <v>94</v>
      </c>
      <c r="C15" s="431">
        <v>2079</v>
      </c>
      <c r="D15" s="431">
        <v>5247</v>
      </c>
      <c r="E15" s="431">
        <v>2187</v>
      </c>
      <c r="F15" s="431">
        <f t="shared" ref="F15:F21" si="3">SUM(G15:H15)</f>
        <v>5509</v>
      </c>
      <c r="G15" s="431">
        <v>2656</v>
      </c>
      <c r="H15" s="431">
        <v>2853</v>
      </c>
      <c r="I15" s="647">
        <f t="shared" si="1"/>
        <v>262</v>
      </c>
      <c r="J15" s="648">
        <f t="shared" si="2"/>
        <v>48.167383625362852</v>
      </c>
    </row>
    <row r="16" spans="1:10" ht="14.1" customHeight="1" x14ac:dyDescent="0.15">
      <c r="A16" s="823"/>
      <c r="B16" s="204" t="s">
        <v>95</v>
      </c>
      <c r="C16" s="431">
        <v>71</v>
      </c>
      <c r="D16" s="431">
        <v>146</v>
      </c>
      <c r="E16" s="431">
        <v>73</v>
      </c>
      <c r="F16" s="431">
        <f t="shared" si="3"/>
        <v>140</v>
      </c>
      <c r="G16" s="431">
        <v>67</v>
      </c>
      <c r="H16" s="431">
        <v>73</v>
      </c>
      <c r="I16" s="647">
        <f t="shared" si="1"/>
        <v>-6</v>
      </c>
      <c r="J16" s="648">
        <f t="shared" si="2"/>
        <v>1.2240758227538209</v>
      </c>
    </row>
    <row r="17" spans="1:10" ht="14.1" customHeight="1" x14ac:dyDescent="0.15">
      <c r="A17" s="823"/>
      <c r="B17" s="204" t="s">
        <v>96</v>
      </c>
      <c r="C17" s="431">
        <v>1706</v>
      </c>
      <c r="D17" s="431">
        <v>4297</v>
      </c>
      <c r="E17" s="431">
        <v>1731</v>
      </c>
      <c r="F17" s="431">
        <f t="shared" si="3"/>
        <v>4312</v>
      </c>
      <c r="G17" s="431">
        <v>2086</v>
      </c>
      <c r="H17" s="431">
        <v>2226</v>
      </c>
      <c r="I17" s="647">
        <f t="shared" si="1"/>
        <v>15</v>
      </c>
      <c r="J17" s="648">
        <f t="shared" si="2"/>
        <v>37.701535340817685</v>
      </c>
    </row>
    <row r="18" spans="1:10" ht="14.1" customHeight="1" x14ac:dyDescent="0.15">
      <c r="A18" s="823"/>
      <c r="B18" s="204" t="s">
        <v>97</v>
      </c>
      <c r="C18" s="431">
        <v>1602</v>
      </c>
      <c r="D18" s="431">
        <v>3866</v>
      </c>
      <c r="E18" s="431">
        <v>1593</v>
      </c>
      <c r="F18" s="431">
        <f t="shared" si="3"/>
        <v>3781</v>
      </c>
      <c r="G18" s="431">
        <v>1831</v>
      </c>
      <c r="H18" s="431">
        <v>1950</v>
      </c>
      <c r="I18" s="647">
        <f t="shared" si="1"/>
        <v>-85</v>
      </c>
      <c r="J18" s="648">
        <f t="shared" si="2"/>
        <v>33.058790613087119</v>
      </c>
    </row>
    <row r="19" spans="1:10" ht="14.1" customHeight="1" x14ac:dyDescent="0.15">
      <c r="A19" s="823"/>
      <c r="B19" s="204" t="s">
        <v>98</v>
      </c>
      <c r="C19" s="431">
        <v>2023</v>
      </c>
      <c r="D19" s="431">
        <v>5059</v>
      </c>
      <c r="E19" s="431">
        <v>2005</v>
      </c>
      <c r="F19" s="431">
        <f t="shared" si="3"/>
        <v>4970</v>
      </c>
      <c r="G19" s="431">
        <v>2367</v>
      </c>
      <c r="H19" s="431">
        <v>2603</v>
      </c>
      <c r="I19" s="647">
        <f t="shared" si="1"/>
        <v>-89</v>
      </c>
      <c r="J19" s="648">
        <f t="shared" si="2"/>
        <v>43.454691707760638</v>
      </c>
    </row>
    <row r="20" spans="1:10" ht="14.1" customHeight="1" x14ac:dyDescent="0.15">
      <c r="A20" s="823"/>
      <c r="B20" s="204" t="s">
        <v>99</v>
      </c>
      <c r="C20" s="431">
        <v>891</v>
      </c>
      <c r="D20" s="431">
        <v>2144</v>
      </c>
      <c r="E20" s="431">
        <v>900</v>
      </c>
      <c r="F20" s="431">
        <f t="shared" si="3"/>
        <v>2175</v>
      </c>
      <c r="G20" s="431">
        <v>1058</v>
      </c>
      <c r="H20" s="431">
        <v>1117</v>
      </c>
      <c r="I20" s="647">
        <f t="shared" si="1"/>
        <v>31</v>
      </c>
      <c r="J20" s="648">
        <f t="shared" si="2"/>
        <v>19.016892246354004</v>
      </c>
    </row>
    <row r="21" spans="1:10" ht="14.1" customHeight="1" x14ac:dyDescent="0.15">
      <c r="A21" s="824"/>
      <c r="B21" s="517" t="s">
        <v>661</v>
      </c>
      <c r="C21" s="518">
        <v>162</v>
      </c>
      <c r="D21" s="518">
        <v>361</v>
      </c>
      <c r="E21" s="431">
        <v>168</v>
      </c>
      <c r="F21" s="431">
        <f t="shared" si="3"/>
        <v>370</v>
      </c>
      <c r="G21" s="431">
        <v>158</v>
      </c>
      <c r="H21" s="431">
        <v>212</v>
      </c>
      <c r="I21" s="647">
        <f t="shared" si="1"/>
        <v>9</v>
      </c>
      <c r="J21" s="648">
        <f t="shared" si="2"/>
        <v>3.2350575315636694</v>
      </c>
    </row>
    <row r="22" spans="1:10" ht="14.1" customHeight="1" x14ac:dyDescent="0.15">
      <c r="A22" s="815" t="s">
        <v>469</v>
      </c>
      <c r="B22" s="207" t="s">
        <v>88</v>
      </c>
      <c r="C22" s="543">
        <v>12168</v>
      </c>
      <c r="D22" s="543">
        <v>26883</v>
      </c>
      <c r="E22" s="543">
        <f t="shared" ref="E22:H22" si="4">SUM(E23:E27)</f>
        <v>12326</v>
      </c>
      <c r="F22" s="543">
        <f t="shared" si="4"/>
        <v>26688</v>
      </c>
      <c r="G22" s="543">
        <f t="shared" si="4"/>
        <v>13017</v>
      </c>
      <c r="H22" s="543">
        <f t="shared" si="4"/>
        <v>13671</v>
      </c>
      <c r="I22" s="645">
        <f t="shared" si="1"/>
        <v>-195</v>
      </c>
      <c r="J22" s="646">
        <f t="shared" si="2"/>
        <v>233.34382541181409</v>
      </c>
    </row>
    <row r="23" spans="1:10" ht="14.1" customHeight="1" x14ac:dyDescent="0.15">
      <c r="A23" s="815"/>
      <c r="B23" s="204" t="s">
        <v>100</v>
      </c>
      <c r="C23" s="431">
        <v>2163</v>
      </c>
      <c r="D23" s="431">
        <v>4728</v>
      </c>
      <c r="E23" s="431">
        <v>2196</v>
      </c>
      <c r="F23" s="431">
        <f>SUM(G23:H23)</f>
        <v>4705</v>
      </c>
      <c r="G23" s="431">
        <v>2235</v>
      </c>
      <c r="H23" s="431">
        <v>2470</v>
      </c>
      <c r="I23" s="647">
        <f t="shared" si="1"/>
        <v>-23</v>
      </c>
      <c r="J23" s="648">
        <f t="shared" si="2"/>
        <v>41.137691043262336</v>
      </c>
    </row>
    <row r="24" spans="1:10" ht="14.1" customHeight="1" x14ac:dyDescent="0.15">
      <c r="A24" s="815"/>
      <c r="B24" s="204" t="s">
        <v>101</v>
      </c>
      <c r="C24" s="431">
        <v>2098</v>
      </c>
      <c r="D24" s="431">
        <v>4461</v>
      </c>
      <c r="E24" s="431">
        <v>2105</v>
      </c>
      <c r="F24" s="431">
        <f>SUM(G24:H24)</f>
        <v>4413</v>
      </c>
      <c r="G24" s="431">
        <v>2130</v>
      </c>
      <c r="H24" s="431">
        <v>2283</v>
      </c>
      <c r="I24" s="647">
        <f t="shared" si="1"/>
        <v>-48</v>
      </c>
      <c r="J24" s="648">
        <f t="shared" si="2"/>
        <v>38.584618612947224</v>
      </c>
    </row>
    <row r="25" spans="1:10" ht="14.1" customHeight="1" x14ac:dyDescent="0.15">
      <c r="A25" s="815"/>
      <c r="B25" s="204" t="s">
        <v>102</v>
      </c>
      <c r="C25" s="431">
        <v>4313</v>
      </c>
      <c r="D25" s="431">
        <v>10087</v>
      </c>
      <c r="E25" s="431">
        <v>4360</v>
      </c>
      <c r="F25" s="431">
        <f>SUM(G25:H25)</f>
        <v>9989</v>
      </c>
      <c r="G25" s="431">
        <v>4899</v>
      </c>
      <c r="H25" s="431">
        <v>5090</v>
      </c>
      <c r="I25" s="647">
        <f t="shared" si="1"/>
        <v>-98</v>
      </c>
      <c r="J25" s="648">
        <f t="shared" si="2"/>
        <v>87.33780995348512</v>
      </c>
    </row>
    <row r="26" spans="1:10" ht="14.1" customHeight="1" x14ac:dyDescent="0.15">
      <c r="A26" s="815"/>
      <c r="B26" s="204" t="s">
        <v>103</v>
      </c>
      <c r="C26" s="431">
        <v>1734</v>
      </c>
      <c r="D26" s="431">
        <v>3186</v>
      </c>
      <c r="E26" s="431">
        <v>1772</v>
      </c>
      <c r="F26" s="431">
        <f>SUM(G26:H26)</f>
        <v>3200</v>
      </c>
      <c r="G26" s="431">
        <v>1640</v>
      </c>
      <c r="H26" s="431">
        <v>1560</v>
      </c>
      <c r="I26" s="647">
        <f t="shared" si="1"/>
        <v>14</v>
      </c>
      <c r="J26" s="648">
        <f t="shared" si="2"/>
        <v>27.978875948658764</v>
      </c>
    </row>
    <row r="27" spans="1:10" ht="14.1" customHeight="1" x14ac:dyDescent="0.15">
      <c r="A27" s="815"/>
      <c r="B27" s="206" t="s">
        <v>104</v>
      </c>
      <c r="C27" s="431">
        <v>1860</v>
      </c>
      <c r="D27" s="431">
        <v>4421</v>
      </c>
      <c r="E27" s="431">
        <v>1893</v>
      </c>
      <c r="F27" s="431">
        <f>SUM(G27:H27)</f>
        <v>4381</v>
      </c>
      <c r="G27" s="431">
        <v>2113</v>
      </c>
      <c r="H27" s="431">
        <v>2268</v>
      </c>
      <c r="I27" s="647">
        <f t="shared" si="1"/>
        <v>-40</v>
      </c>
      <c r="J27" s="648">
        <f t="shared" si="2"/>
        <v>38.304829853460639</v>
      </c>
    </row>
    <row r="28" spans="1:10" ht="14.1" customHeight="1" x14ac:dyDescent="0.15">
      <c r="A28" s="815" t="s">
        <v>105</v>
      </c>
      <c r="B28" s="207" t="s">
        <v>88</v>
      </c>
      <c r="C28" s="543">
        <v>8383</v>
      </c>
      <c r="D28" s="543">
        <v>19451</v>
      </c>
      <c r="E28" s="543">
        <f t="shared" ref="E28:H28" si="5">SUM(E29:E32)</f>
        <v>8511</v>
      </c>
      <c r="F28" s="543">
        <f t="shared" si="5"/>
        <v>19540</v>
      </c>
      <c r="G28" s="543">
        <f t="shared" si="5"/>
        <v>9510</v>
      </c>
      <c r="H28" s="543">
        <f t="shared" si="5"/>
        <v>10030</v>
      </c>
      <c r="I28" s="645">
        <f t="shared" si="1"/>
        <v>89</v>
      </c>
      <c r="J28" s="646">
        <f t="shared" si="2"/>
        <v>170.84601126149755</v>
      </c>
    </row>
    <row r="29" spans="1:10" ht="14.1" customHeight="1" x14ac:dyDescent="0.15">
      <c r="A29" s="815"/>
      <c r="B29" s="204" t="s">
        <v>106</v>
      </c>
      <c r="C29" s="431">
        <v>439</v>
      </c>
      <c r="D29" s="431">
        <v>1063</v>
      </c>
      <c r="E29" s="431">
        <v>499</v>
      </c>
      <c r="F29" s="431">
        <f>SUM(G29:H29)</f>
        <v>1231</v>
      </c>
      <c r="G29" s="431">
        <v>596</v>
      </c>
      <c r="H29" s="431">
        <v>635</v>
      </c>
      <c r="I29" s="647">
        <f t="shared" si="1"/>
        <v>168</v>
      </c>
      <c r="J29" s="648">
        <f t="shared" si="2"/>
        <v>10.763123841499668</v>
      </c>
    </row>
    <row r="30" spans="1:10" ht="14.1" customHeight="1" x14ac:dyDescent="0.15">
      <c r="A30" s="815"/>
      <c r="B30" s="204" t="s">
        <v>107</v>
      </c>
      <c r="C30" s="431">
        <v>1965</v>
      </c>
      <c r="D30" s="431">
        <v>4362</v>
      </c>
      <c r="E30" s="431">
        <v>1981</v>
      </c>
      <c r="F30" s="431">
        <f>SUM(G30:H30)</f>
        <v>4293</v>
      </c>
      <c r="G30" s="431">
        <v>2153</v>
      </c>
      <c r="H30" s="431">
        <v>2140</v>
      </c>
      <c r="I30" s="647">
        <f t="shared" si="1"/>
        <v>-69</v>
      </c>
      <c r="J30" s="648">
        <f t="shared" si="2"/>
        <v>37.535410764872523</v>
      </c>
    </row>
    <row r="31" spans="1:10" ht="14.1" customHeight="1" x14ac:dyDescent="0.15">
      <c r="A31" s="815"/>
      <c r="B31" s="204" t="s">
        <v>108</v>
      </c>
      <c r="C31" s="431">
        <v>1883</v>
      </c>
      <c r="D31" s="431">
        <v>4372</v>
      </c>
      <c r="E31" s="431">
        <v>1924</v>
      </c>
      <c r="F31" s="431">
        <f>SUM(G31:H31)</f>
        <v>4441</v>
      </c>
      <c r="G31" s="431">
        <v>2147</v>
      </c>
      <c r="H31" s="431">
        <v>2294</v>
      </c>
      <c r="I31" s="647">
        <f t="shared" si="1"/>
        <v>69</v>
      </c>
      <c r="J31" s="648">
        <f t="shared" si="2"/>
        <v>38.829433777497989</v>
      </c>
    </row>
    <row r="32" spans="1:10" ht="14.1" customHeight="1" x14ac:dyDescent="0.15">
      <c r="A32" s="815"/>
      <c r="B32" s="206" t="s">
        <v>109</v>
      </c>
      <c r="C32" s="431">
        <v>4096</v>
      </c>
      <c r="D32" s="431">
        <v>9654</v>
      </c>
      <c r="E32" s="431">
        <v>4107</v>
      </c>
      <c r="F32" s="431">
        <f>SUM(G32:H32)</f>
        <v>9575</v>
      </c>
      <c r="G32" s="431">
        <v>4614</v>
      </c>
      <c r="H32" s="431">
        <v>4961</v>
      </c>
      <c r="I32" s="647">
        <f t="shared" si="1"/>
        <v>-79</v>
      </c>
      <c r="J32" s="648">
        <f t="shared" si="2"/>
        <v>83.718042877627397</v>
      </c>
    </row>
    <row r="33" spans="1:10" ht="14.1" customHeight="1" x14ac:dyDescent="0.15">
      <c r="A33" s="815" t="s">
        <v>470</v>
      </c>
      <c r="B33" s="207" t="s">
        <v>88</v>
      </c>
      <c r="C33" s="543">
        <v>3272</v>
      </c>
      <c r="D33" s="543">
        <v>7858</v>
      </c>
      <c r="E33" s="543">
        <f t="shared" ref="E33:H33" si="6">SUM(E34:E38)</f>
        <v>3260</v>
      </c>
      <c r="F33" s="543">
        <f t="shared" si="6"/>
        <v>7801</v>
      </c>
      <c r="G33" s="543">
        <f t="shared" si="6"/>
        <v>3807</v>
      </c>
      <c r="H33" s="543">
        <f t="shared" si="6"/>
        <v>3994</v>
      </c>
      <c r="I33" s="645">
        <f t="shared" si="1"/>
        <v>-57</v>
      </c>
      <c r="J33" s="646">
        <f t="shared" si="2"/>
        <v>68.207253523589685</v>
      </c>
    </row>
    <row r="34" spans="1:10" ht="14.1" customHeight="1" x14ac:dyDescent="0.15">
      <c r="A34" s="815"/>
      <c r="B34" s="204" t="s">
        <v>110</v>
      </c>
      <c r="C34" s="431">
        <v>1159</v>
      </c>
      <c r="D34" s="431">
        <v>2827</v>
      </c>
      <c r="E34" s="431">
        <v>1163</v>
      </c>
      <c r="F34" s="431">
        <f>SUM(G34:H34)</f>
        <v>2845</v>
      </c>
      <c r="G34" s="431">
        <v>1385</v>
      </c>
      <c r="H34" s="431">
        <v>1460</v>
      </c>
      <c r="I34" s="647">
        <f t="shared" si="1"/>
        <v>18</v>
      </c>
      <c r="J34" s="648">
        <f t="shared" si="2"/>
        <v>24.87496939810443</v>
      </c>
    </row>
    <row r="35" spans="1:10" ht="14.1" customHeight="1" x14ac:dyDescent="0.15">
      <c r="A35" s="815"/>
      <c r="B35" s="204" t="s">
        <v>111</v>
      </c>
      <c r="C35" s="431">
        <v>404</v>
      </c>
      <c r="D35" s="431">
        <v>1009</v>
      </c>
      <c r="E35" s="431">
        <v>396</v>
      </c>
      <c r="F35" s="431">
        <f>SUM(G35:H35)</f>
        <v>996</v>
      </c>
      <c r="G35" s="431">
        <v>473</v>
      </c>
      <c r="H35" s="431">
        <v>523</v>
      </c>
      <c r="I35" s="647">
        <f t="shared" si="1"/>
        <v>-13</v>
      </c>
      <c r="J35" s="648">
        <f t="shared" si="2"/>
        <v>8.70842513902004</v>
      </c>
    </row>
    <row r="36" spans="1:10" ht="14.1" customHeight="1" x14ac:dyDescent="0.15">
      <c r="A36" s="815"/>
      <c r="B36" s="204" t="s">
        <v>112</v>
      </c>
      <c r="C36" s="431">
        <v>648</v>
      </c>
      <c r="D36" s="431">
        <v>1527</v>
      </c>
      <c r="E36" s="431">
        <v>644</v>
      </c>
      <c r="F36" s="431">
        <f>SUM(G36:H36)</f>
        <v>1498</v>
      </c>
      <c r="G36" s="431">
        <v>745</v>
      </c>
      <c r="H36" s="431">
        <v>753</v>
      </c>
      <c r="I36" s="647">
        <f t="shared" si="1"/>
        <v>-29</v>
      </c>
      <c r="J36" s="648">
        <f t="shared" si="2"/>
        <v>13.097611303465884</v>
      </c>
    </row>
    <row r="37" spans="1:10" ht="14.1" customHeight="1" x14ac:dyDescent="0.15">
      <c r="A37" s="815"/>
      <c r="B37" s="204" t="s">
        <v>113</v>
      </c>
      <c r="C37" s="431">
        <v>930</v>
      </c>
      <c r="D37" s="431">
        <v>2165</v>
      </c>
      <c r="E37" s="431">
        <v>927</v>
      </c>
      <c r="F37" s="431">
        <f>SUM(G37:H37)</f>
        <v>2134</v>
      </c>
      <c r="G37" s="431">
        <v>1039</v>
      </c>
      <c r="H37" s="431">
        <v>1095</v>
      </c>
      <c r="I37" s="647">
        <f t="shared" si="1"/>
        <v>-31</v>
      </c>
      <c r="J37" s="648">
        <f t="shared" si="2"/>
        <v>18.658412898261815</v>
      </c>
    </row>
    <row r="38" spans="1:10" ht="14.1" customHeight="1" x14ac:dyDescent="0.15">
      <c r="A38" s="815"/>
      <c r="B38" s="206" t="s">
        <v>114</v>
      </c>
      <c r="C38" s="431">
        <v>131</v>
      </c>
      <c r="D38" s="431">
        <v>330</v>
      </c>
      <c r="E38" s="431">
        <v>130</v>
      </c>
      <c r="F38" s="431">
        <f>SUM(G38:H38)</f>
        <v>328</v>
      </c>
      <c r="G38" s="431">
        <v>165</v>
      </c>
      <c r="H38" s="431">
        <v>163</v>
      </c>
      <c r="I38" s="647">
        <f>F38-D38</f>
        <v>-2</v>
      </c>
      <c r="J38" s="648">
        <f t="shared" si="2"/>
        <v>2.8678347847375232</v>
      </c>
    </row>
    <row r="39" spans="1:10" ht="14.1" customHeight="1" x14ac:dyDescent="0.15">
      <c r="A39" s="815" t="s">
        <v>471</v>
      </c>
      <c r="B39" s="207" t="s">
        <v>88</v>
      </c>
      <c r="C39" s="543">
        <v>6702</v>
      </c>
      <c r="D39" s="543">
        <v>16713</v>
      </c>
      <c r="E39" s="543">
        <f t="shared" ref="E39:H39" si="7">SUM(E40:E46)</f>
        <v>6990</v>
      </c>
      <c r="F39" s="543">
        <f t="shared" si="7"/>
        <v>16967</v>
      </c>
      <c r="G39" s="543">
        <f t="shared" si="7"/>
        <v>8306</v>
      </c>
      <c r="H39" s="543">
        <f t="shared" si="7"/>
        <v>8661</v>
      </c>
      <c r="I39" s="645">
        <f t="shared" ref="I39:I55" si="8">F39-D39</f>
        <v>254</v>
      </c>
      <c r="J39" s="646">
        <f t="shared" si="2"/>
        <v>148.34924631902913</v>
      </c>
    </row>
    <row r="40" spans="1:10" ht="14.1" customHeight="1" x14ac:dyDescent="0.15">
      <c r="A40" s="815"/>
      <c r="B40" s="204" t="s">
        <v>115</v>
      </c>
      <c r="C40" s="431">
        <v>2083</v>
      </c>
      <c r="D40" s="431">
        <v>5132</v>
      </c>
      <c r="E40" s="431">
        <v>2224</v>
      </c>
      <c r="F40" s="431">
        <f t="shared" ref="F40:F46" si="9">SUM(G40:H40)</f>
        <v>5300</v>
      </c>
      <c r="G40" s="431">
        <v>2597</v>
      </c>
      <c r="H40" s="431">
        <v>2703</v>
      </c>
      <c r="I40" s="647">
        <f t="shared" si="8"/>
        <v>168</v>
      </c>
      <c r="J40" s="648">
        <f t="shared" si="2"/>
        <v>46.340013289966073</v>
      </c>
    </row>
    <row r="41" spans="1:10" ht="14.1" customHeight="1" x14ac:dyDescent="0.15">
      <c r="A41" s="815"/>
      <c r="B41" s="204" t="s">
        <v>116</v>
      </c>
      <c r="C41" s="431">
        <v>805</v>
      </c>
      <c r="D41" s="431">
        <v>1874</v>
      </c>
      <c r="E41" s="431">
        <v>843</v>
      </c>
      <c r="F41" s="431">
        <f t="shared" si="9"/>
        <v>1938</v>
      </c>
      <c r="G41" s="431">
        <v>955</v>
      </c>
      <c r="H41" s="431">
        <v>983</v>
      </c>
      <c r="I41" s="647">
        <f t="shared" si="8"/>
        <v>64</v>
      </c>
      <c r="J41" s="648">
        <f t="shared" si="2"/>
        <v>16.944706746406464</v>
      </c>
    </row>
    <row r="42" spans="1:10" ht="14.1" customHeight="1" x14ac:dyDescent="0.15">
      <c r="A42" s="815"/>
      <c r="B42" s="205" t="s">
        <v>117</v>
      </c>
      <c r="C42" s="431">
        <v>106</v>
      </c>
      <c r="D42" s="431">
        <v>252</v>
      </c>
      <c r="E42" s="431">
        <v>113</v>
      </c>
      <c r="F42" s="431">
        <f t="shared" si="9"/>
        <v>273</v>
      </c>
      <c r="G42" s="431">
        <v>139</v>
      </c>
      <c r="H42" s="431">
        <v>134</v>
      </c>
      <c r="I42" s="647">
        <f t="shared" si="8"/>
        <v>21</v>
      </c>
      <c r="J42" s="648">
        <f t="shared" si="2"/>
        <v>2.3869478543699509</v>
      </c>
    </row>
    <row r="43" spans="1:10" ht="14.1" customHeight="1" x14ac:dyDescent="0.15">
      <c r="A43" s="815"/>
      <c r="B43" s="204" t="s">
        <v>118</v>
      </c>
      <c r="C43" s="431">
        <v>1825</v>
      </c>
      <c r="D43" s="431">
        <v>4478</v>
      </c>
      <c r="E43" s="431">
        <v>1935</v>
      </c>
      <c r="F43" s="431">
        <f t="shared" si="9"/>
        <v>4606</v>
      </c>
      <c r="G43" s="431">
        <v>2252</v>
      </c>
      <c r="H43" s="431">
        <v>2354</v>
      </c>
      <c r="I43" s="647">
        <f t="shared" si="8"/>
        <v>128</v>
      </c>
      <c r="J43" s="648">
        <f t="shared" si="2"/>
        <v>40.272094568600707</v>
      </c>
    </row>
    <row r="44" spans="1:10" ht="14.1" customHeight="1" x14ac:dyDescent="0.15">
      <c r="A44" s="815"/>
      <c r="B44" s="204" t="s">
        <v>119</v>
      </c>
      <c r="C44" s="431">
        <v>1654</v>
      </c>
      <c r="D44" s="431">
        <v>4369</v>
      </c>
      <c r="E44" s="431">
        <v>1651</v>
      </c>
      <c r="F44" s="431">
        <f t="shared" si="9"/>
        <v>4285</v>
      </c>
      <c r="G44" s="431">
        <v>2096</v>
      </c>
      <c r="H44" s="431">
        <v>2189</v>
      </c>
      <c r="I44" s="647">
        <f t="shared" si="8"/>
        <v>-84</v>
      </c>
      <c r="J44" s="648">
        <f t="shared" si="2"/>
        <v>37.465463575000875</v>
      </c>
    </row>
    <row r="45" spans="1:10" ht="14.1" customHeight="1" x14ac:dyDescent="0.15">
      <c r="A45" s="815"/>
      <c r="B45" s="208" t="s">
        <v>120</v>
      </c>
      <c r="C45" s="431">
        <v>103</v>
      </c>
      <c r="D45" s="431">
        <v>295</v>
      </c>
      <c r="E45" s="431">
        <v>102</v>
      </c>
      <c r="F45" s="431">
        <f t="shared" si="9"/>
        <v>276</v>
      </c>
      <c r="G45" s="431">
        <v>136</v>
      </c>
      <c r="H45" s="431">
        <v>140</v>
      </c>
      <c r="I45" s="647">
        <f t="shared" si="8"/>
        <v>-19</v>
      </c>
      <c r="J45" s="648">
        <f t="shared" si="2"/>
        <v>2.4131780505718186</v>
      </c>
    </row>
    <row r="46" spans="1:10" ht="14.1" customHeight="1" x14ac:dyDescent="0.15">
      <c r="A46" s="815"/>
      <c r="B46" s="206" t="s">
        <v>121</v>
      </c>
      <c r="C46" s="431">
        <v>126</v>
      </c>
      <c r="D46" s="431">
        <v>313</v>
      </c>
      <c r="E46" s="431">
        <v>122</v>
      </c>
      <c r="F46" s="431">
        <f t="shared" si="9"/>
        <v>289</v>
      </c>
      <c r="G46" s="431">
        <v>131</v>
      </c>
      <c r="H46" s="431">
        <v>158</v>
      </c>
      <c r="I46" s="647">
        <f t="shared" si="8"/>
        <v>-24</v>
      </c>
      <c r="J46" s="648">
        <f t="shared" si="2"/>
        <v>2.5268422341132446</v>
      </c>
    </row>
    <row r="47" spans="1:10" ht="14.1" customHeight="1" x14ac:dyDescent="0.15">
      <c r="A47" s="815" t="s">
        <v>472</v>
      </c>
      <c r="B47" s="207" t="s">
        <v>88</v>
      </c>
      <c r="C47" s="543">
        <v>5563</v>
      </c>
      <c r="D47" s="543">
        <v>13959</v>
      </c>
      <c r="E47" s="543">
        <f>SUM(E48:E54)</f>
        <v>5584</v>
      </c>
      <c r="F47" s="543">
        <f t="shared" ref="F47:H47" si="10">SUM(F48:F54)</f>
        <v>13826</v>
      </c>
      <c r="G47" s="543">
        <f t="shared" si="10"/>
        <v>6933</v>
      </c>
      <c r="H47" s="543">
        <f t="shared" si="10"/>
        <v>6893</v>
      </c>
      <c r="I47" s="645">
        <f t="shared" si="8"/>
        <v>-133</v>
      </c>
      <c r="J47" s="646">
        <f t="shared" si="2"/>
        <v>120.88623089567378</v>
      </c>
    </row>
    <row r="48" spans="1:10" ht="14.1" customHeight="1" x14ac:dyDescent="0.15">
      <c r="A48" s="815"/>
      <c r="B48" s="204" t="s">
        <v>122</v>
      </c>
      <c r="C48" s="431">
        <v>930</v>
      </c>
      <c r="D48" s="431">
        <v>2266</v>
      </c>
      <c r="E48" s="431">
        <v>932</v>
      </c>
      <c r="F48" s="431">
        <f>SUM(G48:H48)</f>
        <v>2248</v>
      </c>
      <c r="G48" s="431">
        <v>1110</v>
      </c>
      <c r="H48" s="431">
        <v>1138</v>
      </c>
      <c r="I48" s="647">
        <f t="shared" si="8"/>
        <v>-18</v>
      </c>
      <c r="J48" s="648">
        <f t="shared" si="2"/>
        <v>19.655160353932782</v>
      </c>
    </row>
    <row r="49" spans="1:10" ht="14.1" customHeight="1" x14ac:dyDescent="0.15">
      <c r="A49" s="815"/>
      <c r="B49" s="204" t="s">
        <v>123</v>
      </c>
      <c r="C49" s="431">
        <v>1261</v>
      </c>
      <c r="D49" s="431">
        <v>2953</v>
      </c>
      <c r="E49" s="431">
        <v>1255</v>
      </c>
      <c r="F49" s="431">
        <f t="shared" ref="F49:F55" si="11">SUM(G49:H49)</f>
        <v>2906</v>
      </c>
      <c r="G49" s="431">
        <v>1486</v>
      </c>
      <c r="H49" s="431">
        <v>1420</v>
      </c>
      <c r="I49" s="647">
        <f t="shared" si="8"/>
        <v>-47</v>
      </c>
      <c r="J49" s="648">
        <f t="shared" si="2"/>
        <v>25.408316720875739</v>
      </c>
    </row>
    <row r="50" spans="1:10" ht="14.1" customHeight="1" x14ac:dyDescent="0.15">
      <c r="A50" s="815"/>
      <c r="B50" s="204" t="s">
        <v>124</v>
      </c>
      <c r="C50" s="431">
        <v>669</v>
      </c>
      <c r="D50" s="431">
        <v>1738</v>
      </c>
      <c r="E50" s="431">
        <v>672</v>
      </c>
      <c r="F50" s="431">
        <f t="shared" si="11"/>
        <v>1711</v>
      </c>
      <c r="G50" s="431">
        <v>847</v>
      </c>
      <c r="H50" s="431">
        <v>864</v>
      </c>
      <c r="I50" s="647">
        <f t="shared" si="8"/>
        <v>-27</v>
      </c>
      <c r="J50" s="648">
        <f>100/$F$6*F50*10</f>
        <v>14.959955233798484</v>
      </c>
    </row>
    <row r="51" spans="1:10" ht="14.1" customHeight="1" x14ac:dyDescent="0.15">
      <c r="A51" s="815"/>
      <c r="B51" s="204" t="s">
        <v>125</v>
      </c>
      <c r="C51" s="431">
        <v>396</v>
      </c>
      <c r="D51" s="431">
        <v>802</v>
      </c>
      <c r="E51" s="431">
        <v>386</v>
      </c>
      <c r="F51" s="431">
        <f t="shared" si="11"/>
        <v>787</v>
      </c>
      <c r="G51" s="431">
        <v>411</v>
      </c>
      <c r="H51" s="431">
        <v>376</v>
      </c>
      <c r="I51" s="647">
        <f t="shared" si="8"/>
        <v>-15</v>
      </c>
      <c r="J51" s="648">
        <f t="shared" si="2"/>
        <v>6.8810548036232646</v>
      </c>
    </row>
    <row r="52" spans="1:10" ht="14.1" customHeight="1" x14ac:dyDescent="0.15">
      <c r="A52" s="815"/>
      <c r="B52" s="204" t="s">
        <v>126</v>
      </c>
      <c r="C52" s="431">
        <v>1040</v>
      </c>
      <c r="D52" s="431">
        <v>2919</v>
      </c>
      <c r="E52" s="431">
        <v>1070</v>
      </c>
      <c r="F52" s="431">
        <f t="shared" si="11"/>
        <v>2931</v>
      </c>
      <c r="G52" s="431">
        <v>1483</v>
      </c>
      <c r="H52" s="431">
        <v>1448</v>
      </c>
      <c r="I52" s="647">
        <f t="shared" si="8"/>
        <v>12</v>
      </c>
      <c r="J52" s="648">
        <f t="shared" si="2"/>
        <v>25.626901689224635</v>
      </c>
    </row>
    <row r="53" spans="1:10" ht="14.1" customHeight="1" x14ac:dyDescent="0.15">
      <c r="A53" s="815"/>
      <c r="B53" s="204" t="s">
        <v>127</v>
      </c>
      <c r="C53" s="431">
        <v>674</v>
      </c>
      <c r="D53" s="431">
        <v>1851</v>
      </c>
      <c r="E53" s="431">
        <v>682</v>
      </c>
      <c r="F53" s="431">
        <f t="shared" si="11"/>
        <v>1853</v>
      </c>
      <c r="G53" s="431">
        <v>916</v>
      </c>
      <c r="H53" s="431">
        <v>937</v>
      </c>
      <c r="I53" s="647">
        <f t="shared" si="8"/>
        <v>2</v>
      </c>
      <c r="J53" s="648">
        <f t="shared" si="2"/>
        <v>16.201517854020217</v>
      </c>
    </row>
    <row r="54" spans="1:10" ht="14.1" customHeight="1" x14ac:dyDescent="0.15">
      <c r="A54" s="815"/>
      <c r="B54" s="206" t="s">
        <v>128</v>
      </c>
      <c r="C54" s="431">
        <v>593</v>
      </c>
      <c r="D54" s="431">
        <v>1430</v>
      </c>
      <c r="E54" s="431">
        <v>587</v>
      </c>
      <c r="F54" s="431">
        <f t="shared" si="11"/>
        <v>1390</v>
      </c>
      <c r="G54" s="431">
        <v>680</v>
      </c>
      <c r="H54" s="431">
        <v>710</v>
      </c>
      <c r="I54" s="647">
        <f t="shared" si="8"/>
        <v>-40</v>
      </c>
      <c r="J54" s="648">
        <f t="shared" si="2"/>
        <v>12.15332424019865</v>
      </c>
    </row>
    <row r="55" spans="1:10" ht="14.1" customHeight="1" thickBot="1" x14ac:dyDescent="0.2">
      <c r="A55" s="202" t="s">
        <v>129</v>
      </c>
      <c r="B55" s="209" t="s">
        <v>130</v>
      </c>
      <c r="C55" s="432">
        <v>47</v>
      </c>
      <c r="D55" s="432">
        <v>99</v>
      </c>
      <c r="E55" s="432">
        <v>37</v>
      </c>
      <c r="F55" s="432">
        <f t="shared" si="11"/>
        <v>81</v>
      </c>
      <c r="G55" s="432">
        <v>28</v>
      </c>
      <c r="H55" s="432">
        <v>53</v>
      </c>
      <c r="I55" s="649">
        <f t="shared" si="8"/>
        <v>-18</v>
      </c>
      <c r="J55" s="646">
        <f t="shared" si="2"/>
        <v>0.708215297450425</v>
      </c>
    </row>
    <row r="56" spans="1:10" ht="14.1" customHeight="1" x14ac:dyDescent="0.15">
      <c r="A56" s="650" t="s">
        <v>580</v>
      </c>
      <c r="B56" s="639"/>
      <c r="C56" s="639"/>
      <c r="D56" s="639"/>
      <c r="E56" s="639"/>
      <c r="F56" s="639"/>
      <c r="G56" s="639"/>
      <c r="H56" s="639"/>
      <c r="I56" s="651"/>
      <c r="J56" s="651" t="s">
        <v>660</v>
      </c>
    </row>
    <row r="57" spans="1:10" ht="14.1" customHeight="1" x14ac:dyDescent="0.15">
      <c r="A57" s="650" t="s">
        <v>581</v>
      </c>
      <c r="B57" s="639"/>
      <c r="C57" s="639"/>
      <c r="D57" s="639"/>
      <c r="E57" s="639"/>
      <c r="F57" s="639"/>
      <c r="G57" s="639"/>
      <c r="H57" s="639"/>
      <c r="I57" s="639"/>
      <c r="J57" s="639"/>
    </row>
    <row r="58" spans="1:10" ht="14.1" customHeight="1" x14ac:dyDescent="0.15">
      <c r="A58" s="650" t="s">
        <v>662</v>
      </c>
      <c r="B58" s="639"/>
      <c r="C58" s="639"/>
      <c r="D58" s="639"/>
      <c r="E58" s="639"/>
      <c r="F58" s="639"/>
      <c r="G58" s="639"/>
      <c r="H58" s="639"/>
      <c r="I58" s="639"/>
      <c r="J58" s="639"/>
    </row>
  </sheetData>
  <sheetProtection sheet="1" objects="1" scenarios="1"/>
  <mergeCells count="13">
    <mergeCell ref="D3:D4"/>
    <mergeCell ref="E3:E4"/>
    <mergeCell ref="F3:H4"/>
    <mergeCell ref="A47:A54"/>
    <mergeCell ref="A3:B5"/>
    <mergeCell ref="C3:C4"/>
    <mergeCell ref="A6:B6"/>
    <mergeCell ref="A7:A13"/>
    <mergeCell ref="A22:A27"/>
    <mergeCell ref="A28:A32"/>
    <mergeCell ref="A33:A38"/>
    <mergeCell ref="A39:A46"/>
    <mergeCell ref="A14:A21"/>
  </mergeCells>
  <phoneticPr fontId="18"/>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&amp;L&amp;"ＭＳ 明朝,標準"&amp;10人　口</oddHeader>
    <oddFooter>&amp;C&amp;"ＭＳ 明朝,標準"&amp;12&amp;A</oddFooter>
  </headerFooter>
  <ignoredErrors>
    <ignoredError sqref="F7"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34"/>
  <sheetViews>
    <sheetView view="pageBreakPreview" zoomScale="90" zoomScaleNormal="120" zoomScaleSheetLayoutView="90" workbookViewId="0">
      <pane ySplit="5" topLeftCell="A6" activePane="bottomLeft" state="frozen"/>
      <selection activeCell="K250" sqref="K250"/>
      <selection pane="bottomLeft" activeCell="K250" sqref="K250"/>
    </sheetView>
  </sheetViews>
  <sheetFormatPr defaultRowHeight="23.1" customHeight="1" x14ac:dyDescent="0.15"/>
  <cols>
    <col min="1" max="1" width="12.125" style="614" customWidth="1"/>
    <col min="2" max="4" width="11.375" style="614" customWidth="1"/>
    <col min="5" max="5" width="11.375" style="613" customWidth="1"/>
    <col min="6" max="6" width="11.625" style="658" customWidth="1"/>
    <col min="7" max="7" width="11.375" style="659" customWidth="1"/>
    <col min="8" max="8" width="11.375" style="660" customWidth="1"/>
    <col min="9" max="12" width="9" style="620"/>
    <col min="13" max="16384" width="9" style="614"/>
  </cols>
  <sheetData>
    <row r="1" spans="1:12" s="613" customFormat="1" ht="5.0999999999999996" customHeight="1" x14ac:dyDescent="0.15">
      <c r="A1" s="13"/>
      <c r="F1" s="652"/>
      <c r="G1" s="825"/>
      <c r="H1" s="825"/>
      <c r="I1" s="619"/>
      <c r="J1" s="619"/>
      <c r="K1" s="619"/>
      <c r="L1" s="619"/>
    </row>
    <row r="2" spans="1:12" s="613" customFormat="1" ht="15" customHeight="1" thickBot="1" x14ac:dyDescent="0.2">
      <c r="A2" s="13" t="s">
        <v>131</v>
      </c>
      <c r="F2" s="652"/>
      <c r="G2" s="825" t="s">
        <v>16</v>
      </c>
      <c r="H2" s="825"/>
      <c r="I2" s="619"/>
      <c r="J2" s="619"/>
      <c r="K2" s="619"/>
      <c r="L2" s="619"/>
    </row>
    <row r="3" spans="1:12" ht="13.5" customHeight="1" x14ac:dyDescent="0.15">
      <c r="A3" s="826" t="s">
        <v>132</v>
      </c>
      <c r="B3" s="828" t="s">
        <v>133</v>
      </c>
      <c r="C3" s="813" t="s">
        <v>18</v>
      </c>
      <c r="D3" s="830" t="s">
        <v>134</v>
      </c>
      <c r="E3" s="830"/>
      <c r="F3" s="832" t="s">
        <v>135</v>
      </c>
      <c r="G3" s="834" t="s">
        <v>136</v>
      </c>
      <c r="H3" s="836" t="s">
        <v>137</v>
      </c>
      <c r="I3" s="621"/>
    </row>
    <row r="4" spans="1:12" ht="13.5" customHeight="1" x14ac:dyDescent="0.15">
      <c r="A4" s="827"/>
      <c r="B4" s="829"/>
      <c r="C4" s="814"/>
      <c r="D4" s="831"/>
      <c r="E4" s="831"/>
      <c r="F4" s="833"/>
      <c r="G4" s="835"/>
      <c r="H4" s="837"/>
      <c r="I4" s="621"/>
    </row>
    <row r="5" spans="1:12" ht="27" customHeight="1" x14ac:dyDescent="0.15">
      <c r="A5" s="827"/>
      <c r="B5" s="829"/>
      <c r="C5" s="587" t="s">
        <v>684</v>
      </c>
      <c r="D5" s="587" t="s">
        <v>586</v>
      </c>
      <c r="E5" s="587" t="s">
        <v>686</v>
      </c>
      <c r="F5" s="833"/>
      <c r="G5" s="835"/>
      <c r="H5" s="356" t="s">
        <v>684</v>
      </c>
      <c r="I5" s="621"/>
    </row>
    <row r="6" spans="1:12" ht="30" customHeight="1" x14ac:dyDescent="0.15">
      <c r="A6" s="357" t="s">
        <v>138</v>
      </c>
      <c r="B6" s="358">
        <v>19.48</v>
      </c>
      <c r="C6" s="23">
        <f>SUM(C8:C28)</f>
        <v>48916</v>
      </c>
      <c r="D6" s="23">
        <f>SUM(D8:D28)</f>
        <v>114337</v>
      </c>
      <c r="E6" s="23">
        <f>SUM(E8:E28)</f>
        <v>114372</v>
      </c>
      <c r="F6" s="653">
        <f>+E6-D6</f>
        <v>35</v>
      </c>
      <c r="G6" s="359">
        <f>ROUND(F6/D6,5)*100</f>
        <v>3.1E-2</v>
      </c>
      <c r="H6" s="606">
        <f>E6/B6</f>
        <v>5871.2525667351129</v>
      </c>
      <c r="I6" s="661">
        <f>(+E6/D6)-1</f>
        <v>3.0611263195634564E-4</v>
      </c>
      <c r="K6" s="662">
        <f>SUM(K8:K27)</f>
        <v>19.299999999999997</v>
      </c>
      <c r="L6" s="662">
        <f>SUM(L8:L27)</f>
        <v>19.480000000000004</v>
      </c>
    </row>
    <row r="7" spans="1:12" ht="24" customHeight="1" x14ac:dyDescent="0.15">
      <c r="A7" s="360"/>
      <c r="B7" s="24"/>
      <c r="C7" s="593"/>
      <c r="D7" s="595"/>
      <c r="E7" s="595"/>
      <c r="F7" s="25"/>
      <c r="G7" s="262"/>
      <c r="H7" s="606"/>
      <c r="I7" s="621"/>
      <c r="K7" s="662"/>
      <c r="L7" s="662"/>
    </row>
    <row r="8" spans="1:12" ht="24" customHeight="1" x14ac:dyDescent="0.15">
      <c r="A8" s="211" t="s">
        <v>139</v>
      </c>
      <c r="B8" s="596">
        <f>0.98+0.01</f>
        <v>0.99</v>
      </c>
      <c r="C8" s="593">
        <v>1639</v>
      </c>
      <c r="D8" s="593">
        <v>4086</v>
      </c>
      <c r="E8" s="593">
        <v>4090</v>
      </c>
      <c r="F8" s="26">
        <f>+E8-D8</f>
        <v>4</v>
      </c>
      <c r="G8" s="262">
        <f>ROUND(F8/D8,5)*100</f>
        <v>9.8000000000000004E-2</v>
      </c>
      <c r="H8" s="605">
        <f>E8/B8</f>
        <v>4131.3131313131316</v>
      </c>
      <c r="I8" s="661">
        <f t="shared" ref="I8:I28" si="0">(+E8/D8)-1</f>
        <v>9.7895252080282269E-4</v>
      </c>
      <c r="K8" s="662">
        <v>0.98</v>
      </c>
      <c r="L8" s="662">
        <f>K8/$K$6*19.48</f>
        <v>0.9891398963730571</v>
      </c>
    </row>
    <row r="9" spans="1:12" ht="24" customHeight="1" x14ac:dyDescent="0.15">
      <c r="A9" s="211" t="s">
        <v>140</v>
      </c>
      <c r="B9" s="596">
        <f>0.55+0.01</f>
        <v>0.56000000000000005</v>
      </c>
      <c r="C9" s="593">
        <v>1956</v>
      </c>
      <c r="D9" s="593">
        <v>4594</v>
      </c>
      <c r="E9" s="593">
        <v>4520</v>
      </c>
      <c r="F9" s="26">
        <f t="shared" ref="F9:F16" si="1">+E9-D9</f>
        <v>-74</v>
      </c>
      <c r="G9" s="262">
        <f>ROUND(F9/D9,5)*100</f>
        <v>-1.611</v>
      </c>
      <c r="H9" s="605">
        <f t="shared" ref="H9:H27" si="2">E9/B9</f>
        <v>8071.4285714285706</v>
      </c>
      <c r="I9" s="661">
        <f>(+E9/D9)-1</f>
        <v>-1.6107966913365246E-2</v>
      </c>
      <c r="K9" s="662">
        <v>0.55000000000000004</v>
      </c>
      <c r="L9" s="662">
        <f>K9/$K$6*19.48</f>
        <v>0.55512953367875661</v>
      </c>
    </row>
    <row r="10" spans="1:12" ht="24" customHeight="1" x14ac:dyDescent="0.15">
      <c r="A10" s="211" t="s">
        <v>141</v>
      </c>
      <c r="B10" s="596">
        <f>0.84+0.01</f>
        <v>0.85</v>
      </c>
      <c r="C10" s="593">
        <v>3481</v>
      </c>
      <c r="D10" s="593">
        <v>8584</v>
      </c>
      <c r="E10" s="593">
        <v>8434</v>
      </c>
      <c r="F10" s="26">
        <f t="shared" si="1"/>
        <v>-150</v>
      </c>
      <c r="G10" s="262">
        <f t="shared" ref="G10:G28" si="3">ROUND(F10/D10,5)*100</f>
        <v>-1.7469999999999999</v>
      </c>
      <c r="H10" s="605">
        <f>E10/B10</f>
        <v>9922.3529411764703</v>
      </c>
      <c r="I10" s="661">
        <f t="shared" si="0"/>
        <v>-1.7474370922646809E-2</v>
      </c>
      <c r="K10" s="662">
        <v>0.84</v>
      </c>
      <c r="L10" s="662">
        <f t="shared" ref="L10:L27" si="4">K10/$K$6*19.48</f>
        <v>0.84783419689119188</v>
      </c>
    </row>
    <row r="11" spans="1:12" ht="24" customHeight="1" x14ac:dyDescent="0.15">
      <c r="A11" s="211" t="s">
        <v>142</v>
      </c>
      <c r="B11" s="596">
        <f>1.8+0.02</f>
        <v>1.82</v>
      </c>
      <c r="C11" s="593">
        <v>3553</v>
      </c>
      <c r="D11" s="593">
        <v>8276</v>
      </c>
      <c r="E11" s="593">
        <v>8217</v>
      </c>
      <c r="F11" s="26">
        <f t="shared" si="1"/>
        <v>-59</v>
      </c>
      <c r="G11" s="262">
        <f t="shared" si="3"/>
        <v>-0.71299999999999997</v>
      </c>
      <c r="H11" s="605">
        <f t="shared" si="2"/>
        <v>4514.8351648351645</v>
      </c>
      <c r="I11" s="661">
        <f t="shared" si="0"/>
        <v>-7.1290478492025411E-3</v>
      </c>
      <c r="K11" s="662">
        <v>1.8</v>
      </c>
      <c r="L11" s="662">
        <f t="shared" si="4"/>
        <v>1.8167875647668397</v>
      </c>
    </row>
    <row r="12" spans="1:12" ht="24" customHeight="1" x14ac:dyDescent="0.15">
      <c r="A12" s="211" t="s">
        <v>143</v>
      </c>
      <c r="B12" s="596">
        <f>1.04+0.01</f>
        <v>1.05</v>
      </c>
      <c r="C12" s="593">
        <v>3049</v>
      </c>
      <c r="D12" s="593">
        <v>7181</v>
      </c>
      <c r="E12" s="593">
        <v>7478</v>
      </c>
      <c r="F12" s="26">
        <f t="shared" si="1"/>
        <v>297</v>
      </c>
      <c r="G12" s="262">
        <f t="shared" si="3"/>
        <v>4.1360000000000001</v>
      </c>
      <c r="H12" s="605">
        <f t="shared" si="2"/>
        <v>7121.9047619047615</v>
      </c>
      <c r="I12" s="661">
        <f t="shared" si="0"/>
        <v>4.1359142180754871E-2</v>
      </c>
      <c r="K12" s="662">
        <v>1.04</v>
      </c>
      <c r="L12" s="662">
        <f t="shared" si="4"/>
        <v>1.0496994818652852</v>
      </c>
    </row>
    <row r="13" spans="1:12" ht="24" customHeight="1" x14ac:dyDescent="0.15">
      <c r="A13" s="211" t="s">
        <v>144</v>
      </c>
      <c r="B13" s="596">
        <f>2.11+0.02</f>
        <v>2.13</v>
      </c>
      <c r="C13" s="593">
        <v>4314</v>
      </c>
      <c r="D13" s="593">
        <v>10050</v>
      </c>
      <c r="E13" s="593">
        <v>10032</v>
      </c>
      <c r="F13" s="26">
        <f t="shared" si="1"/>
        <v>-18</v>
      </c>
      <c r="G13" s="262">
        <f>ROUND(F13/D13,5)*100</f>
        <v>-0.17899999999999999</v>
      </c>
      <c r="H13" s="605">
        <f t="shared" si="2"/>
        <v>4709.8591549295779</v>
      </c>
      <c r="I13" s="661">
        <f t="shared" si="0"/>
        <v>-1.7910447761193549E-3</v>
      </c>
      <c r="K13" s="662">
        <v>2.11</v>
      </c>
      <c r="L13" s="662">
        <f t="shared" si="4"/>
        <v>2.1296787564766841</v>
      </c>
    </row>
    <row r="14" spans="1:12" ht="24" customHeight="1" x14ac:dyDescent="0.15">
      <c r="A14" s="211" t="s">
        <v>145</v>
      </c>
      <c r="B14" s="596">
        <f>0.88+0.01</f>
        <v>0.89</v>
      </c>
      <c r="C14" s="593">
        <v>2090</v>
      </c>
      <c r="D14" s="593">
        <v>4458</v>
      </c>
      <c r="E14" s="593">
        <v>4405</v>
      </c>
      <c r="F14" s="26">
        <f t="shared" si="1"/>
        <v>-53</v>
      </c>
      <c r="G14" s="262">
        <f t="shared" si="3"/>
        <v>-1.1890000000000001</v>
      </c>
      <c r="H14" s="605">
        <f t="shared" si="2"/>
        <v>4949.4382022471909</v>
      </c>
      <c r="I14" s="661">
        <f t="shared" si="0"/>
        <v>-1.188873934499779E-2</v>
      </c>
      <c r="K14" s="662">
        <v>0.88</v>
      </c>
      <c r="L14" s="662">
        <f t="shared" si="4"/>
        <v>0.88820725388601052</v>
      </c>
    </row>
    <row r="15" spans="1:12" ht="24" customHeight="1" x14ac:dyDescent="0.15">
      <c r="A15" s="211" t="s">
        <v>146</v>
      </c>
      <c r="B15" s="596">
        <f>1.22+0.01</f>
        <v>1.23</v>
      </c>
      <c r="C15" s="593">
        <v>5219</v>
      </c>
      <c r="D15" s="593">
        <v>12059</v>
      </c>
      <c r="E15" s="593">
        <v>11975</v>
      </c>
      <c r="F15" s="26">
        <f t="shared" si="1"/>
        <v>-84</v>
      </c>
      <c r="G15" s="262">
        <f t="shared" si="3"/>
        <v>-0.69699999999999995</v>
      </c>
      <c r="H15" s="605">
        <f t="shared" si="2"/>
        <v>9735.7723577235774</v>
      </c>
      <c r="I15" s="661">
        <f t="shared" si="0"/>
        <v>-6.96575172070657E-3</v>
      </c>
      <c r="K15" s="662">
        <v>1.22</v>
      </c>
      <c r="L15" s="662">
        <f t="shared" si="4"/>
        <v>1.2313782383419691</v>
      </c>
    </row>
    <row r="16" spans="1:12" ht="24" customHeight="1" x14ac:dyDescent="0.15">
      <c r="A16" s="211" t="s">
        <v>147</v>
      </c>
      <c r="B16" s="596">
        <f>0.67+0.01</f>
        <v>0.68</v>
      </c>
      <c r="C16" s="593">
        <v>2322</v>
      </c>
      <c r="D16" s="593">
        <v>4320</v>
      </c>
      <c r="E16" s="593">
        <v>4516</v>
      </c>
      <c r="F16" s="26">
        <f t="shared" si="1"/>
        <v>196</v>
      </c>
      <c r="G16" s="262">
        <f t="shared" si="3"/>
        <v>4.5369999999999999</v>
      </c>
      <c r="H16" s="605">
        <f t="shared" si="2"/>
        <v>6641.1764705882351</v>
      </c>
      <c r="I16" s="661">
        <f t="shared" si="0"/>
        <v>4.5370370370370283E-2</v>
      </c>
      <c r="K16" s="662">
        <v>0.67</v>
      </c>
      <c r="L16" s="662">
        <f t="shared" si="4"/>
        <v>0.67624870466321263</v>
      </c>
    </row>
    <row r="17" spans="1:12" ht="24" customHeight="1" x14ac:dyDescent="0.15">
      <c r="A17" s="211" t="s">
        <v>148</v>
      </c>
      <c r="B17" s="596">
        <v>0.33</v>
      </c>
      <c r="C17" s="361">
        <v>0</v>
      </c>
      <c r="D17" s="361">
        <v>0</v>
      </c>
      <c r="E17" s="361">
        <v>0</v>
      </c>
      <c r="F17" s="26" t="s">
        <v>149</v>
      </c>
      <c r="G17" s="262">
        <v>0</v>
      </c>
      <c r="H17" s="362">
        <f t="shared" si="2"/>
        <v>0</v>
      </c>
      <c r="I17" s="661" t="e">
        <f t="shared" si="0"/>
        <v>#DIV/0!</v>
      </c>
      <c r="K17" s="662">
        <v>0.33</v>
      </c>
      <c r="L17" s="662">
        <f t="shared" si="4"/>
        <v>0.33307772020725396</v>
      </c>
    </row>
    <row r="18" spans="1:12" ht="24" customHeight="1" x14ac:dyDescent="0.15">
      <c r="A18" s="211" t="s">
        <v>150</v>
      </c>
      <c r="B18" s="596">
        <f>0.85+0.01</f>
        <v>0.86</v>
      </c>
      <c r="C18" s="593">
        <v>1995</v>
      </c>
      <c r="D18" s="593">
        <v>4416</v>
      </c>
      <c r="E18" s="593">
        <v>4346</v>
      </c>
      <c r="F18" s="26">
        <f t="shared" ref="F18:F25" si="5">+E18-D18</f>
        <v>-70</v>
      </c>
      <c r="G18" s="262">
        <f t="shared" si="3"/>
        <v>-1.585</v>
      </c>
      <c r="H18" s="605">
        <f t="shared" si="2"/>
        <v>5053.4883720930229</v>
      </c>
      <c r="I18" s="661">
        <f t="shared" si="0"/>
        <v>-1.5851449275362306E-2</v>
      </c>
      <c r="K18" s="662">
        <v>0.85</v>
      </c>
      <c r="L18" s="662">
        <f t="shared" si="4"/>
        <v>0.85792746113989649</v>
      </c>
    </row>
    <row r="19" spans="1:12" ht="24" customHeight="1" x14ac:dyDescent="0.15">
      <c r="A19" s="211" t="s">
        <v>151</v>
      </c>
      <c r="B19" s="596">
        <f>0.67+0.01</f>
        <v>0.68</v>
      </c>
      <c r="C19" s="593">
        <v>4237</v>
      </c>
      <c r="D19" s="593">
        <v>9964</v>
      </c>
      <c r="E19" s="593">
        <v>9897</v>
      </c>
      <c r="F19" s="26">
        <f t="shared" si="5"/>
        <v>-67</v>
      </c>
      <c r="G19" s="262">
        <f t="shared" si="3"/>
        <v>-0.67200000000000004</v>
      </c>
      <c r="H19" s="605">
        <f t="shared" si="2"/>
        <v>14554.411764705881</v>
      </c>
      <c r="I19" s="661">
        <f t="shared" si="0"/>
        <v>-6.7242071457246366E-3</v>
      </c>
      <c r="K19" s="662">
        <v>0.67</v>
      </c>
      <c r="L19" s="662">
        <f t="shared" si="4"/>
        <v>0.67624870466321263</v>
      </c>
    </row>
    <row r="20" spans="1:12" ht="24" customHeight="1" x14ac:dyDescent="0.15">
      <c r="A20" s="211" t="s">
        <v>152</v>
      </c>
      <c r="B20" s="596">
        <f>0.93+0.01</f>
        <v>0.94000000000000006</v>
      </c>
      <c r="C20" s="593">
        <v>1866</v>
      </c>
      <c r="D20" s="593">
        <v>4910</v>
      </c>
      <c r="E20" s="593">
        <v>4823</v>
      </c>
      <c r="F20" s="26">
        <f t="shared" si="5"/>
        <v>-87</v>
      </c>
      <c r="G20" s="262">
        <f t="shared" si="3"/>
        <v>-1.772</v>
      </c>
      <c r="H20" s="605">
        <f t="shared" si="2"/>
        <v>5130.8510638297867</v>
      </c>
      <c r="I20" s="661">
        <f t="shared" si="0"/>
        <v>-1.7718940936863548E-2</v>
      </c>
      <c r="K20" s="662">
        <v>0.93</v>
      </c>
      <c r="L20" s="662">
        <f t="shared" si="4"/>
        <v>0.93867357512953387</v>
      </c>
    </row>
    <row r="21" spans="1:12" ht="24" customHeight="1" x14ac:dyDescent="0.15">
      <c r="A21" s="211" t="s">
        <v>153</v>
      </c>
      <c r="B21" s="596">
        <f>0.85+0.01</f>
        <v>0.86</v>
      </c>
      <c r="C21" s="593">
        <v>2308</v>
      </c>
      <c r="D21" s="593">
        <v>5366</v>
      </c>
      <c r="E21" s="593">
        <v>5538</v>
      </c>
      <c r="F21" s="26">
        <f t="shared" si="5"/>
        <v>172</v>
      </c>
      <c r="G21" s="262">
        <f t="shared" si="3"/>
        <v>3.2050000000000001</v>
      </c>
      <c r="H21" s="605">
        <f t="shared" si="2"/>
        <v>6439.5348837209303</v>
      </c>
      <c r="I21" s="661">
        <f t="shared" si="0"/>
        <v>3.2053671263510886E-2</v>
      </c>
      <c r="K21" s="662">
        <v>0.85</v>
      </c>
      <c r="L21" s="662">
        <f t="shared" si="4"/>
        <v>0.85792746113989649</v>
      </c>
    </row>
    <row r="22" spans="1:12" ht="24" customHeight="1" x14ac:dyDescent="0.15">
      <c r="A22" s="211" t="s">
        <v>154</v>
      </c>
      <c r="B22" s="596">
        <f>1.52+0.01</f>
        <v>1.53</v>
      </c>
      <c r="C22" s="593">
        <v>3188</v>
      </c>
      <c r="D22" s="593">
        <v>7295</v>
      </c>
      <c r="E22" s="593">
        <v>7505</v>
      </c>
      <c r="F22" s="26">
        <f t="shared" si="5"/>
        <v>210</v>
      </c>
      <c r="G22" s="262">
        <f t="shared" si="3"/>
        <v>2.879</v>
      </c>
      <c r="H22" s="605">
        <f t="shared" si="2"/>
        <v>4905.2287581699347</v>
      </c>
      <c r="I22" s="661">
        <f t="shared" si="0"/>
        <v>2.8786840301576522E-2</v>
      </c>
      <c r="K22" s="662">
        <v>1.52</v>
      </c>
      <c r="L22" s="662">
        <f t="shared" si="4"/>
        <v>1.5341761658031092</v>
      </c>
    </row>
    <row r="23" spans="1:12" ht="24" customHeight="1" x14ac:dyDescent="0.15">
      <c r="A23" s="211" t="s">
        <v>155</v>
      </c>
      <c r="B23" s="596">
        <f>1.35+0.01</f>
        <v>1.36</v>
      </c>
      <c r="C23" s="593">
        <v>4056</v>
      </c>
      <c r="D23" s="593">
        <v>10063</v>
      </c>
      <c r="E23" s="593">
        <v>9942</v>
      </c>
      <c r="F23" s="26">
        <f t="shared" si="5"/>
        <v>-121</v>
      </c>
      <c r="G23" s="262">
        <f t="shared" si="3"/>
        <v>-1.202</v>
      </c>
      <c r="H23" s="605">
        <f t="shared" si="2"/>
        <v>7310.2941176470586</v>
      </c>
      <c r="I23" s="661">
        <f t="shared" si="0"/>
        <v>-1.2024247242373054E-2</v>
      </c>
      <c r="K23" s="662">
        <v>1.35</v>
      </c>
      <c r="L23" s="662">
        <f t="shared" si="4"/>
        <v>1.3625906735751299</v>
      </c>
    </row>
    <row r="24" spans="1:12" ht="24" customHeight="1" x14ac:dyDescent="0.15">
      <c r="A24" s="211" t="s">
        <v>156</v>
      </c>
      <c r="B24" s="596">
        <f>0.72+0.01</f>
        <v>0.73</v>
      </c>
      <c r="C24" s="593">
        <v>1292</v>
      </c>
      <c r="D24" s="593">
        <v>3331</v>
      </c>
      <c r="E24" s="593">
        <v>3295</v>
      </c>
      <c r="F24" s="26">
        <f t="shared" si="5"/>
        <v>-36</v>
      </c>
      <c r="G24" s="262">
        <f t="shared" si="3"/>
        <v>-1.081</v>
      </c>
      <c r="H24" s="605">
        <f t="shared" si="2"/>
        <v>4513.6986301369861</v>
      </c>
      <c r="I24" s="661">
        <f t="shared" si="0"/>
        <v>-1.0807565295707033E-2</v>
      </c>
      <c r="K24" s="662">
        <v>0.72</v>
      </c>
      <c r="L24" s="662">
        <f t="shared" si="4"/>
        <v>0.72671502590673587</v>
      </c>
    </row>
    <row r="25" spans="1:12" ht="24" customHeight="1" x14ac:dyDescent="0.15">
      <c r="A25" s="211" t="s">
        <v>157</v>
      </c>
      <c r="B25" s="596">
        <f>0.68+0.01</f>
        <v>0.69000000000000006</v>
      </c>
      <c r="C25" s="593">
        <v>2314</v>
      </c>
      <c r="D25" s="593">
        <v>5293</v>
      </c>
      <c r="E25" s="593">
        <v>5285</v>
      </c>
      <c r="F25" s="26">
        <f t="shared" si="5"/>
        <v>-8</v>
      </c>
      <c r="G25" s="262">
        <f t="shared" si="3"/>
        <v>-0.151</v>
      </c>
      <c r="H25" s="605">
        <f>E25/B25</f>
        <v>7659.420289855072</v>
      </c>
      <c r="I25" s="661">
        <f t="shared" si="0"/>
        <v>-1.5114301908180083E-3</v>
      </c>
      <c r="K25" s="662">
        <v>0.68</v>
      </c>
      <c r="L25" s="662">
        <f t="shared" si="4"/>
        <v>0.68634196891191723</v>
      </c>
    </row>
    <row r="26" spans="1:12" ht="24" customHeight="1" x14ac:dyDescent="0.15">
      <c r="A26" s="211" t="s">
        <v>158</v>
      </c>
      <c r="B26" s="596">
        <f>0.95+0.03+0.01</f>
        <v>0.99</v>
      </c>
      <c r="C26" s="361">
        <v>0</v>
      </c>
      <c r="D26" s="361">
        <v>0</v>
      </c>
      <c r="E26" s="361">
        <v>0</v>
      </c>
      <c r="F26" s="26" t="s">
        <v>149</v>
      </c>
      <c r="G26" s="26" t="s">
        <v>149</v>
      </c>
      <c r="H26" s="362">
        <f t="shared" si="2"/>
        <v>0</v>
      </c>
      <c r="I26" s="661" t="e">
        <f t="shared" si="0"/>
        <v>#DIV/0!</v>
      </c>
      <c r="K26" s="662">
        <v>0.98</v>
      </c>
      <c r="L26" s="662">
        <f t="shared" si="4"/>
        <v>0.9891398963730571</v>
      </c>
    </row>
    <row r="27" spans="1:12" ht="24" customHeight="1" x14ac:dyDescent="0.15">
      <c r="A27" s="363" t="s">
        <v>159</v>
      </c>
      <c r="B27" s="596">
        <v>0.33</v>
      </c>
      <c r="C27" s="593">
        <v>6</v>
      </c>
      <c r="D27" s="593">
        <v>5</v>
      </c>
      <c r="E27" s="593">
        <v>6</v>
      </c>
      <c r="F27" s="26">
        <f>+E27-D27</f>
        <v>1</v>
      </c>
      <c r="G27" s="262">
        <f t="shared" si="3"/>
        <v>20</v>
      </c>
      <c r="H27" s="605">
        <f t="shared" si="2"/>
        <v>18.18181818181818</v>
      </c>
      <c r="I27" s="661">
        <f t="shared" si="0"/>
        <v>0.19999999999999996</v>
      </c>
      <c r="K27" s="662">
        <v>0.33</v>
      </c>
      <c r="L27" s="662">
        <f t="shared" si="4"/>
        <v>0.33307772020725396</v>
      </c>
    </row>
    <row r="28" spans="1:12" ht="24" customHeight="1" thickBot="1" x14ac:dyDescent="0.2">
      <c r="A28" s="202" t="s">
        <v>130</v>
      </c>
      <c r="B28" s="210" t="s">
        <v>467</v>
      </c>
      <c r="C28" s="599">
        <v>31</v>
      </c>
      <c r="D28" s="599">
        <v>86</v>
      </c>
      <c r="E28" s="599">
        <v>68</v>
      </c>
      <c r="F28" s="654">
        <f>+E28-D28</f>
        <v>-18</v>
      </c>
      <c r="G28" s="364">
        <f t="shared" si="3"/>
        <v>-20.93</v>
      </c>
      <c r="H28" s="365" t="s">
        <v>149</v>
      </c>
      <c r="I28" s="661">
        <f t="shared" si="0"/>
        <v>-0.20930232558139539</v>
      </c>
    </row>
    <row r="29" spans="1:12" ht="16.5" customHeight="1" x14ac:dyDescent="0.15">
      <c r="A29" s="13" t="s">
        <v>160</v>
      </c>
      <c r="B29" s="613"/>
      <c r="C29" s="613"/>
      <c r="D29" s="613"/>
      <c r="F29" s="655"/>
      <c r="G29" s="656"/>
      <c r="H29" s="366" t="s">
        <v>659</v>
      </c>
      <c r="I29" s="619"/>
    </row>
    <row r="30" spans="1:12" ht="16.5" customHeight="1" x14ac:dyDescent="0.15">
      <c r="A30" s="13" t="s">
        <v>161</v>
      </c>
      <c r="B30" s="613"/>
      <c r="C30" s="613"/>
      <c r="D30" s="613"/>
      <c r="F30" s="655"/>
      <c r="G30" s="656"/>
      <c r="H30" s="657"/>
      <c r="I30" s="619"/>
    </row>
    <row r="31" spans="1:12" ht="16.5" customHeight="1" x14ac:dyDescent="0.15">
      <c r="A31" s="13" t="s">
        <v>583</v>
      </c>
    </row>
    <row r="32" spans="1:12" ht="16.5" customHeight="1" x14ac:dyDescent="0.15">
      <c r="A32" s="520" t="s">
        <v>584</v>
      </c>
    </row>
    <row r="33" spans="1:1" ht="16.5" customHeight="1" x14ac:dyDescent="0.15">
      <c r="A33" s="520" t="s">
        <v>585</v>
      </c>
    </row>
    <row r="34" spans="1:1" ht="16.5" customHeight="1" x14ac:dyDescent="0.15"/>
  </sheetData>
  <sheetProtection sheet="1" objects="1" scenarios="1"/>
  <mergeCells count="9">
    <mergeCell ref="G1:H1"/>
    <mergeCell ref="G2:H2"/>
    <mergeCell ref="A3:A5"/>
    <mergeCell ref="B3:B5"/>
    <mergeCell ref="C3:C4"/>
    <mergeCell ref="D3:E4"/>
    <mergeCell ref="F3:F5"/>
    <mergeCell ref="G3:G5"/>
    <mergeCell ref="H3:H4"/>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ummaryRight="0"/>
  </sheetPr>
  <dimension ref="A1:L56"/>
  <sheetViews>
    <sheetView tabSelected="1" view="pageBreakPreview" topLeftCell="A37" zoomScaleNormal="100" zoomScaleSheetLayoutView="100" workbookViewId="0">
      <selection activeCell="A55" sqref="A55"/>
    </sheetView>
  </sheetViews>
  <sheetFormatPr defaultRowHeight="15" customHeight="1" x14ac:dyDescent="0.15"/>
  <cols>
    <col min="1" max="1" width="2.75" style="27" customWidth="1"/>
    <col min="2" max="3" width="7.25" style="27" customWidth="1"/>
    <col min="4" max="4" width="0.875" style="27" customWidth="1"/>
    <col min="5" max="12" width="9.25" style="27" customWidth="1"/>
    <col min="13" max="16384" width="9" style="27"/>
  </cols>
  <sheetData>
    <row r="1" spans="1:12" ht="5.0999999999999996" customHeight="1" x14ac:dyDescent="0.15">
      <c r="A1" s="13"/>
      <c r="L1" s="14"/>
    </row>
    <row r="2" spans="1:12" ht="15" customHeight="1" thickBot="1" x14ac:dyDescent="0.2">
      <c r="A2" s="13" t="s">
        <v>162</v>
      </c>
      <c r="L2" s="14" t="s">
        <v>28</v>
      </c>
    </row>
    <row r="3" spans="1:12" ht="22.5" customHeight="1" x14ac:dyDescent="0.15">
      <c r="A3" s="840" t="s">
        <v>163</v>
      </c>
      <c r="B3" s="841"/>
      <c r="C3" s="841"/>
      <c r="D3" s="842"/>
      <c r="E3" s="582" t="s">
        <v>576</v>
      </c>
      <c r="F3" s="582" t="s">
        <v>577</v>
      </c>
      <c r="G3" s="582" t="s">
        <v>578</v>
      </c>
      <c r="H3" s="582" t="s">
        <v>579</v>
      </c>
      <c r="I3" s="582" t="s">
        <v>574</v>
      </c>
      <c r="J3" s="586" t="s">
        <v>575</v>
      </c>
      <c r="K3" s="563" t="s">
        <v>586</v>
      </c>
      <c r="L3" s="663" t="s">
        <v>689</v>
      </c>
    </row>
    <row r="4" spans="1:12" ht="18" customHeight="1" x14ac:dyDescent="0.15">
      <c r="A4" s="843" t="s">
        <v>164</v>
      </c>
      <c r="B4" s="844"/>
      <c r="C4" s="844"/>
      <c r="D4" s="845"/>
      <c r="E4" s="369">
        <f t="shared" ref="E4:J4" si="0">SUM(E6:E19)</f>
        <v>556</v>
      </c>
      <c r="F4" s="369">
        <f t="shared" si="0"/>
        <v>599</v>
      </c>
      <c r="G4" s="369">
        <f t="shared" si="0"/>
        <v>684</v>
      </c>
      <c r="H4" s="369">
        <f t="shared" si="0"/>
        <v>764</v>
      </c>
      <c r="I4" s="369">
        <f t="shared" si="0"/>
        <v>804</v>
      </c>
      <c r="J4" s="23">
        <f t="shared" si="0"/>
        <v>1022</v>
      </c>
      <c r="K4" s="23">
        <f>SUM(K6:K19)</f>
        <v>916</v>
      </c>
      <c r="L4" s="664">
        <f t="shared" ref="L4" si="1">SUM(L6:L19)</f>
        <v>967</v>
      </c>
    </row>
    <row r="5" spans="1:12" ht="12" customHeight="1" x14ac:dyDescent="0.15">
      <c r="A5" s="190"/>
      <c r="B5" s="590"/>
      <c r="C5" s="196"/>
      <c r="D5" s="219"/>
      <c r="E5" s="593"/>
      <c r="F5" s="593"/>
      <c r="G5" s="593"/>
      <c r="H5" s="593"/>
      <c r="I5" s="595"/>
      <c r="J5" s="343"/>
      <c r="K5" s="343"/>
      <c r="L5" s="665"/>
    </row>
    <row r="6" spans="1:12" ht="14.25" customHeight="1" x14ac:dyDescent="0.15">
      <c r="A6" s="190"/>
      <c r="B6" s="838" t="s">
        <v>165</v>
      </c>
      <c r="C6" s="838"/>
      <c r="D6" s="220"/>
      <c r="E6" s="564">
        <v>118</v>
      </c>
      <c r="F6" s="344">
        <v>123</v>
      </c>
      <c r="G6" s="344">
        <v>107</v>
      </c>
      <c r="H6" s="344">
        <v>107</v>
      </c>
      <c r="I6" s="344">
        <v>108</v>
      </c>
      <c r="J6" s="344">
        <v>99</v>
      </c>
      <c r="K6" s="344">
        <v>94</v>
      </c>
      <c r="L6" s="666">
        <v>99</v>
      </c>
    </row>
    <row r="7" spans="1:12" ht="14.25" customHeight="1" x14ac:dyDescent="0.15">
      <c r="A7" s="190"/>
      <c r="B7" s="838" t="s">
        <v>166</v>
      </c>
      <c r="C7" s="838"/>
      <c r="D7" s="220"/>
      <c r="E7" s="564">
        <v>88</v>
      </c>
      <c r="F7" s="344">
        <v>81</v>
      </c>
      <c r="G7" s="344">
        <v>74</v>
      </c>
      <c r="H7" s="344">
        <v>71</v>
      </c>
      <c r="I7" s="344">
        <v>71</v>
      </c>
      <c r="J7" s="344">
        <v>67</v>
      </c>
      <c r="K7" s="344">
        <v>72</v>
      </c>
      <c r="L7" s="666">
        <v>85</v>
      </c>
    </row>
    <row r="8" spans="1:12" ht="14.25" customHeight="1" x14ac:dyDescent="0.15">
      <c r="A8" s="190"/>
      <c r="B8" s="838" t="s">
        <v>167</v>
      </c>
      <c r="C8" s="838"/>
      <c r="D8" s="220"/>
      <c r="E8" s="564">
        <v>61</v>
      </c>
      <c r="F8" s="344">
        <v>59</v>
      </c>
      <c r="G8" s="344">
        <v>38</v>
      </c>
      <c r="H8" s="344">
        <v>41</v>
      </c>
      <c r="I8" s="344">
        <v>42</v>
      </c>
      <c r="J8" s="344">
        <v>53</v>
      </c>
      <c r="K8" s="344">
        <v>50</v>
      </c>
      <c r="L8" s="666">
        <v>59</v>
      </c>
    </row>
    <row r="9" spans="1:12" ht="14.25" customHeight="1" x14ac:dyDescent="0.15">
      <c r="A9" s="190"/>
      <c r="B9" s="838" t="s">
        <v>168</v>
      </c>
      <c r="C9" s="838"/>
      <c r="D9" s="220"/>
      <c r="E9" s="564">
        <v>80</v>
      </c>
      <c r="F9" s="344">
        <v>73</v>
      </c>
      <c r="G9" s="344">
        <v>71</v>
      </c>
      <c r="H9" s="344">
        <v>67</v>
      </c>
      <c r="I9" s="344">
        <v>76</v>
      </c>
      <c r="J9" s="344">
        <v>97</v>
      </c>
      <c r="K9" s="344">
        <v>70</v>
      </c>
      <c r="L9" s="666">
        <v>67</v>
      </c>
    </row>
    <row r="10" spans="1:12" s="100" customFormat="1" ht="14.25" customHeight="1" x14ac:dyDescent="0.15">
      <c r="A10" s="120"/>
      <c r="B10" s="839" t="s">
        <v>563</v>
      </c>
      <c r="C10" s="839"/>
      <c r="D10" s="221"/>
      <c r="E10" s="565">
        <v>76</v>
      </c>
      <c r="F10" s="344">
        <v>119</v>
      </c>
      <c r="G10" s="344">
        <v>213</v>
      </c>
      <c r="H10" s="344">
        <v>301</v>
      </c>
      <c r="I10" s="344">
        <v>355</v>
      </c>
      <c r="J10" s="344">
        <v>529</v>
      </c>
      <c r="K10" s="344">
        <v>448</v>
      </c>
      <c r="L10" s="666">
        <v>439</v>
      </c>
    </row>
    <row r="11" spans="1:12" ht="14.25" customHeight="1" x14ac:dyDescent="0.15">
      <c r="A11" s="190"/>
      <c r="B11" s="838" t="s">
        <v>169</v>
      </c>
      <c r="C11" s="838"/>
      <c r="D11" s="220"/>
      <c r="E11" s="564">
        <v>22</v>
      </c>
      <c r="F11" s="344">
        <v>20</v>
      </c>
      <c r="G11" s="344">
        <v>37</v>
      </c>
      <c r="H11" s="344">
        <v>69</v>
      </c>
      <c r="I11" s="344">
        <v>53</v>
      </c>
      <c r="J11" s="344">
        <v>63</v>
      </c>
      <c r="K11" s="344">
        <v>56</v>
      </c>
      <c r="L11" s="666">
        <v>75</v>
      </c>
    </row>
    <row r="12" spans="1:12" ht="14.25" customHeight="1" x14ac:dyDescent="0.15">
      <c r="A12" s="190"/>
      <c r="B12" s="838" t="s">
        <v>170</v>
      </c>
      <c r="C12" s="838"/>
      <c r="D12" s="220"/>
      <c r="E12" s="564">
        <v>9</v>
      </c>
      <c r="F12" s="344">
        <v>6</v>
      </c>
      <c r="G12" s="344">
        <v>5</v>
      </c>
      <c r="H12" s="344">
        <v>6</v>
      </c>
      <c r="I12" s="344">
        <v>6</v>
      </c>
      <c r="J12" s="344">
        <v>7</v>
      </c>
      <c r="K12" s="344">
        <v>7</v>
      </c>
      <c r="L12" s="666">
        <v>10</v>
      </c>
    </row>
    <row r="13" spans="1:12" ht="14.25" customHeight="1" x14ac:dyDescent="0.15">
      <c r="A13" s="190"/>
      <c r="B13" s="838" t="s">
        <v>171</v>
      </c>
      <c r="C13" s="838"/>
      <c r="D13" s="220"/>
      <c r="E13" s="564">
        <v>4</v>
      </c>
      <c r="F13" s="344">
        <v>4</v>
      </c>
      <c r="G13" s="344">
        <v>3</v>
      </c>
      <c r="H13" s="344">
        <v>3</v>
      </c>
      <c r="I13" s="344">
        <v>5</v>
      </c>
      <c r="J13" s="344">
        <v>4</v>
      </c>
      <c r="K13" s="344">
        <v>8</v>
      </c>
      <c r="L13" s="666">
        <v>6</v>
      </c>
    </row>
    <row r="14" spans="1:12" ht="14.25" customHeight="1" x14ac:dyDescent="0.15">
      <c r="A14" s="190"/>
      <c r="B14" s="838" t="s">
        <v>172</v>
      </c>
      <c r="C14" s="838"/>
      <c r="D14" s="220"/>
      <c r="E14" s="564">
        <v>6</v>
      </c>
      <c r="F14" s="344">
        <v>8</v>
      </c>
      <c r="G14" s="344">
        <v>6</v>
      </c>
      <c r="H14" s="344">
        <v>6</v>
      </c>
      <c r="I14" s="344">
        <v>5</v>
      </c>
      <c r="J14" s="344">
        <v>6</v>
      </c>
      <c r="K14" s="344">
        <v>7</v>
      </c>
      <c r="L14" s="666">
        <v>5</v>
      </c>
    </row>
    <row r="15" spans="1:12" ht="14.25" customHeight="1" x14ac:dyDescent="0.15">
      <c r="A15" s="190"/>
      <c r="B15" s="838" t="s">
        <v>173</v>
      </c>
      <c r="C15" s="838"/>
      <c r="D15" s="222"/>
      <c r="E15" s="564">
        <v>3</v>
      </c>
      <c r="F15" s="344">
        <v>5</v>
      </c>
      <c r="G15" s="344">
        <v>5</v>
      </c>
      <c r="H15" s="344">
        <v>4</v>
      </c>
      <c r="I15" s="344">
        <v>4</v>
      </c>
      <c r="J15" s="344">
        <v>4</v>
      </c>
      <c r="K15" s="344">
        <v>4</v>
      </c>
      <c r="L15" s="666">
        <v>4</v>
      </c>
    </row>
    <row r="16" spans="1:12" ht="14.25" customHeight="1" x14ac:dyDescent="0.15">
      <c r="A16" s="190"/>
      <c r="B16" s="838" t="s">
        <v>174</v>
      </c>
      <c r="C16" s="838"/>
      <c r="D16" s="220"/>
      <c r="E16" s="564">
        <v>4</v>
      </c>
      <c r="F16" s="344">
        <v>4</v>
      </c>
      <c r="G16" s="344">
        <v>3</v>
      </c>
      <c r="H16" s="344">
        <v>6</v>
      </c>
      <c r="I16" s="344">
        <v>5</v>
      </c>
      <c r="J16" s="344">
        <v>7</v>
      </c>
      <c r="K16" s="344">
        <v>5</v>
      </c>
      <c r="L16" s="666">
        <v>6</v>
      </c>
    </row>
    <row r="17" spans="1:12" ht="14.25" customHeight="1" x14ac:dyDescent="0.15">
      <c r="A17" s="190"/>
      <c r="B17" s="838" t="s">
        <v>175</v>
      </c>
      <c r="C17" s="838"/>
      <c r="D17" s="220"/>
      <c r="E17" s="564">
        <v>1</v>
      </c>
      <c r="F17" s="344">
        <v>1</v>
      </c>
      <c r="G17" s="344">
        <v>1</v>
      </c>
      <c r="H17" s="519">
        <v>0</v>
      </c>
      <c r="I17" s="519">
        <v>0</v>
      </c>
      <c r="J17" s="519">
        <v>0</v>
      </c>
      <c r="K17" s="519">
        <v>0</v>
      </c>
      <c r="L17" s="667">
        <v>0</v>
      </c>
    </row>
    <row r="18" spans="1:12" ht="14.25" customHeight="1" x14ac:dyDescent="0.15">
      <c r="A18" s="190"/>
      <c r="B18" s="838" t="s">
        <v>176</v>
      </c>
      <c r="C18" s="838"/>
      <c r="D18" s="220"/>
      <c r="E18" s="564">
        <v>4</v>
      </c>
      <c r="F18" s="344">
        <v>3</v>
      </c>
      <c r="G18" s="344">
        <v>3</v>
      </c>
      <c r="H18" s="344">
        <v>4</v>
      </c>
      <c r="I18" s="344">
        <v>5</v>
      </c>
      <c r="J18" s="344">
        <v>6</v>
      </c>
      <c r="K18" s="344">
        <v>6</v>
      </c>
      <c r="L18" s="666">
        <v>7</v>
      </c>
    </row>
    <row r="19" spans="1:12" ht="18" customHeight="1" thickBot="1" x14ac:dyDescent="0.2">
      <c r="A19" s="191"/>
      <c r="B19" s="846" t="s">
        <v>177</v>
      </c>
      <c r="C19" s="846"/>
      <c r="D19" s="223"/>
      <c r="E19" s="566">
        <v>80</v>
      </c>
      <c r="F19" s="345">
        <v>93</v>
      </c>
      <c r="G19" s="345">
        <v>118</v>
      </c>
      <c r="H19" s="345">
        <v>79</v>
      </c>
      <c r="I19" s="345">
        <v>69</v>
      </c>
      <c r="J19" s="345">
        <v>80</v>
      </c>
      <c r="K19" s="345">
        <v>89</v>
      </c>
      <c r="L19" s="668">
        <v>105</v>
      </c>
    </row>
    <row r="20" spans="1:12" ht="18" customHeight="1" x14ac:dyDescent="0.15">
      <c r="A20" s="855" t="s">
        <v>564</v>
      </c>
      <c r="B20" s="855"/>
      <c r="C20" s="855"/>
      <c r="D20" s="855"/>
      <c r="E20" s="855"/>
      <c r="F20" s="855"/>
      <c r="G20" s="855"/>
      <c r="I20" s="13"/>
      <c r="K20" s="520"/>
      <c r="L20" s="585" t="s">
        <v>178</v>
      </c>
    </row>
    <row r="21" spans="1:12" ht="20.25" customHeight="1" thickBot="1" x14ac:dyDescent="0.2">
      <c r="A21" s="852" t="s">
        <v>179</v>
      </c>
      <c r="B21" s="852"/>
      <c r="C21" s="852"/>
      <c r="D21" s="852"/>
      <c r="E21" s="852"/>
      <c r="F21" s="852"/>
      <c r="L21" s="555" t="s">
        <v>180</v>
      </c>
    </row>
    <row r="22" spans="1:12" ht="22.5" customHeight="1" x14ac:dyDescent="0.15">
      <c r="A22" s="826" t="s">
        <v>181</v>
      </c>
      <c r="B22" s="813"/>
      <c r="C22" s="853" t="s">
        <v>182</v>
      </c>
      <c r="D22" s="853"/>
      <c r="E22" s="813" t="s">
        <v>183</v>
      </c>
      <c r="F22" s="813"/>
      <c r="G22" s="813"/>
      <c r="H22" s="813" t="s">
        <v>184</v>
      </c>
      <c r="I22" s="813"/>
      <c r="J22" s="813"/>
      <c r="K22" s="192"/>
      <c r="L22" s="193"/>
    </row>
    <row r="23" spans="1:12" ht="15.75" customHeight="1" x14ac:dyDescent="0.15">
      <c r="A23" s="827"/>
      <c r="B23" s="814"/>
      <c r="C23" s="854"/>
      <c r="D23" s="854"/>
      <c r="E23" s="588" t="s">
        <v>185</v>
      </c>
      <c r="F23" s="584" t="s">
        <v>186</v>
      </c>
      <c r="G23" s="584" t="s">
        <v>187</v>
      </c>
      <c r="H23" s="584" t="s">
        <v>188</v>
      </c>
      <c r="I23" s="584" t="s">
        <v>189</v>
      </c>
      <c r="J23" s="584" t="s">
        <v>190</v>
      </c>
      <c r="K23" s="603" t="s">
        <v>191</v>
      </c>
      <c r="L23" s="604" t="s">
        <v>192</v>
      </c>
    </row>
    <row r="24" spans="1:12" ht="15.75" customHeight="1" x14ac:dyDescent="0.15">
      <c r="A24" s="827"/>
      <c r="B24" s="814"/>
      <c r="C24" s="847" t="s">
        <v>193</v>
      </c>
      <c r="D24" s="847"/>
      <c r="E24" s="28" t="s">
        <v>194</v>
      </c>
      <c r="F24" s="29" t="s">
        <v>195</v>
      </c>
      <c r="G24" s="30" t="s">
        <v>196</v>
      </c>
      <c r="H24" s="31" t="s">
        <v>197</v>
      </c>
      <c r="I24" s="29" t="s">
        <v>198</v>
      </c>
      <c r="J24" s="30" t="s">
        <v>199</v>
      </c>
      <c r="K24" s="21"/>
      <c r="L24" s="194"/>
    </row>
    <row r="25" spans="1:12" ht="14.25" customHeight="1" x14ac:dyDescent="0.15">
      <c r="A25" s="848" t="s">
        <v>707</v>
      </c>
      <c r="B25" s="849"/>
      <c r="C25" s="850">
        <f t="shared" ref="C25:C32" si="2">E25+H25</f>
        <v>462</v>
      </c>
      <c r="D25" s="851"/>
      <c r="E25" s="32">
        <f t="shared" ref="E25:E31" si="3">F25-G25</f>
        <v>1238</v>
      </c>
      <c r="F25" s="32">
        <v>1675</v>
      </c>
      <c r="G25" s="32">
        <v>437</v>
      </c>
      <c r="H25" s="32">
        <f t="shared" ref="H25:H34" si="4">I25-J25</f>
        <v>-776</v>
      </c>
      <c r="I25" s="32">
        <v>6032</v>
      </c>
      <c r="J25" s="32">
        <v>6808</v>
      </c>
      <c r="K25" s="32">
        <v>818</v>
      </c>
      <c r="L25" s="413">
        <v>339</v>
      </c>
    </row>
    <row r="26" spans="1:12" ht="14.25" customHeight="1" x14ac:dyDescent="0.15">
      <c r="A26" s="556" t="s">
        <v>708</v>
      </c>
      <c r="B26" s="557"/>
      <c r="C26" s="864">
        <f t="shared" si="2"/>
        <v>715</v>
      </c>
      <c r="D26" s="865"/>
      <c r="E26" s="32">
        <f t="shared" si="3"/>
        <v>1145</v>
      </c>
      <c r="F26" s="32">
        <v>1559</v>
      </c>
      <c r="G26" s="32">
        <v>414</v>
      </c>
      <c r="H26" s="32">
        <f t="shared" si="4"/>
        <v>-430</v>
      </c>
      <c r="I26" s="32">
        <v>6295</v>
      </c>
      <c r="J26" s="32">
        <v>6725</v>
      </c>
      <c r="K26" s="32">
        <v>833</v>
      </c>
      <c r="L26" s="413">
        <v>310</v>
      </c>
    </row>
    <row r="27" spans="1:12" ht="14.25" customHeight="1" x14ac:dyDescent="0.15">
      <c r="A27" s="556" t="s">
        <v>709</v>
      </c>
      <c r="B27" s="557"/>
      <c r="C27" s="864">
        <f t="shared" si="2"/>
        <v>736</v>
      </c>
      <c r="D27" s="865"/>
      <c r="E27" s="32">
        <f t="shared" si="3"/>
        <v>1143</v>
      </c>
      <c r="F27" s="32">
        <v>1621</v>
      </c>
      <c r="G27" s="32">
        <v>478</v>
      </c>
      <c r="H27" s="32">
        <f t="shared" si="4"/>
        <v>-407</v>
      </c>
      <c r="I27" s="32">
        <v>6152</v>
      </c>
      <c r="J27" s="32">
        <v>6559</v>
      </c>
      <c r="K27" s="32">
        <v>771</v>
      </c>
      <c r="L27" s="413">
        <v>296</v>
      </c>
    </row>
    <row r="28" spans="1:12" ht="14.25" customHeight="1" x14ac:dyDescent="0.15">
      <c r="A28" s="556" t="s">
        <v>710</v>
      </c>
      <c r="B28" s="557"/>
      <c r="C28" s="864">
        <f t="shared" si="2"/>
        <v>589</v>
      </c>
      <c r="D28" s="865"/>
      <c r="E28" s="32">
        <f t="shared" si="3"/>
        <v>1041</v>
      </c>
      <c r="F28" s="32">
        <v>1542</v>
      </c>
      <c r="G28" s="32">
        <v>501</v>
      </c>
      <c r="H28" s="32">
        <f t="shared" si="4"/>
        <v>-452</v>
      </c>
      <c r="I28" s="32">
        <v>6092</v>
      </c>
      <c r="J28" s="32">
        <v>6544</v>
      </c>
      <c r="K28" s="32">
        <v>781</v>
      </c>
      <c r="L28" s="413">
        <v>304</v>
      </c>
    </row>
    <row r="29" spans="1:12" ht="14.25" customHeight="1" x14ac:dyDescent="0.15">
      <c r="A29" s="556" t="s">
        <v>582</v>
      </c>
      <c r="B29" s="557"/>
      <c r="C29" s="864">
        <f t="shared" si="2"/>
        <v>947</v>
      </c>
      <c r="D29" s="865"/>
      <c r="E29" s="32">
        <f t="shared" si="3"/>
        <v>975</v>
      </c>
      <c r="F29" s="32">
        <v>1478</v>
      </c>
      <c r="G29" s="32">
        <v>503</v>
      </c>
      <c r="H29" s="32">
        <f t="shared" si="4"/>
        <v>-28</v>
      </c>
      <c r="I29" s="32">
        <v>6251</v>
      </c>
      <c r="J29" s="32">
        <v>6279</v>
      </c>
      <c r="K29" s="32">
        <v>798</v>
      </c>
      <c r="L29" s="413">
        <v>327</v>
      </c>
    </row>
    <row r="30" spans="1:12" ht="14.25" customHeight="1" x14ac:dyDescent="0.15">
      <c r="A30" s="556" t="s">
        <v>711</v>
      </c>
      <c r="B30" s="557"/>
      <c r="C30" s="864">
        <f t="shared" si="2"/>
        <v>874</v>
      </c>
      <c r="D30" s="865"/>
      <c r="E30" s="32">
        <f t="shared" si="3"/>
        <v>1022</v>
      </c>
      <c r="F30" s="32">
        <v>1525</v>
      </c>
      <c r="G30" s="32">
        <v>503</v>
      </c>
      <c r="H30" s="26">
        <f t="shared" si="4"/>
        <v>-148</v>
      </c>
      <c r="I30" s="32">
        <v>6144</v>
      </c>
      <c r="J30" s="32">
        <v>6292</v>
      </c>
      <c r="K30" s="32">
        <v>1282</v>
      </c>
      <c r="L30" s="413">
        <v>444</v>
      </c>
    </row>
    <row r="31" spans="1:12" ht="14.25" customHeight="1" x14ac:dyDescent="0.15">
      <c r="A31" s="556" t="s">
        <v>691</v>
      </c>
      <c r="B31" s="557"/>
      <c r="C31" s="864">
        <f t="shared" si="2"/>
        <v>786</v>
      </c>
      <c r="D31" s="865"/>
      <c r="E31" s="32">
        <f t="shared" si="3"/>
        <v>908</v>
      </c>
      <c r="F31" s="32">
        <v>1503</v>
      </c>
      <c r="G31" s="32">
        <v>595</v>
      </c>
      <c r="H31" s="26">
        <f t="shared" si="4"/>
        <v>-122</v>
      </c>
      <c r="I31" s="32">
        <v>6076</v>
      </c>
      <c r="J31" s="32">
        <v>6198</v>
      </c>
      <c r="K31" s="32">
        <v>1206</v>
      </c>
      <c r="L31" s="413">
        <v>440</v>
      </c>
    </row>
    <row r="32" spans="1:12" ht="14.25" customHeight="1" x14ac:dyDescent="0.15">
      <c r="A32" s="556" t="s">
        <v>680</v>
      </c>
      <c r="B32" s="557"/>
      <c r="C32" s="864">
        <f t="shared" si="2"/>
        <v>689</v>
      </c>
      <c r="D32" s="865"/>
      <c r="E32" s="32">
        <f>F32-G32</f>
        <v>957</v>
      </c>
      <c r="F32" s="32">
        <v>1516</v>
      </c>
      <c r="G32" s="32">
        <v>559</v>
      </c>
      <c r="H32" s="26">
        <f t="shared" si="4"/>
        <v>-268</v>
      </c>
      <c r="I32" s="32">
        <v>5782</v>
      </c>
      <c r="J32" s="32">
        <v>6050</v>
      </c>
      <c r="K32" s="32">
        <v>1371</v>
      </c>
      <c r="L32" s="413">
        <v>463</v>
      </c>
    </row>
    <row r="33" spans="1:12" ht="14.25" customHeight="1" x14ac:dyDescent="0.15">
      <c r="A33" s="556" t="s">
        <v>712</v>
      </c>
      <c r="B33" s="557"/>
      <c r="C33" s="864">
        <f>E33+H33</f>
        <v>883</v>
      </c>
      <c r="D33" s="865"/>
      <c r="E33" s="32">
        <f t="shared" ref="E33:E37" si="5">F33-G33</f>
        <v>967</v>
      </c>
      <c r="F33" s="32">
        <v>1544</v>
      </c>
      <c r="G33" s="32">
        <v>577</v>
      </c>
      <c r="H33" s="26">
        <f t="shared" si="4"/>
        <v>-84</v>
      </c>
      <c r="I33" s="32">
        <v>5675</v>
      </c>
      <c r="J33" s="32">
        <v>5759</v>
      </c>
      <c r="K33" s="32">
        <v>1301</v>
      </c>
      <c r="L33" s="413">
        <v>411</v>
      </c>
    </row>
    <row r="34" spans="1:12" ht="14.25" customHeight="1" x14ac:dyDescent="0.15">
      <c r="A34" s="556" t="s">
        <v>713</v>
      </c>
      <c r="B34" s="557"/>
      <c r="C34" s="864">
        <f t="shared" ref="C34:C36" si="6">E34+H34</f>
        <v>657</v>
      </c>
      <c r="D34" s="865"/>
      <c r="E34" s="32">
        <f t="shared" si="5"/>
        <v>853</v>
      </c>
      <c r="F34" s="32">
        <v>1507</v>
      </c>
      <c r="G34" s="32">
        <v>654</v>
      </c>
      <c r="H34" s="32">
        <f t="shared" si="4"/>
        <v>-196</v>
      </c>
      <c r="I34" s="32">
        <v>5698</v>
      </c>
      <c r="J34" s="32">
        <v>5894</v>
      </c>
      <c r="K34" s="34">
        <v>1318</v>
      </c>
      <c r="L34" s="414">
        <v>443</v>
      </c>
    </row>
    <row r="35" spans="1:12" ht="14.25" customHeight="1" x14ac:dyDescent="0.15">
      <c r="A35" s="556" t="s">
        <v>714</v>
      </c>
      <c r="B35" s="557"/>
      <c r="C35" s="864">
        <f t="shared" si="6"/>
        <v>727</v>
      </c>
      <c r="D35" s="865"/>
      <c r="E35" s="32">
        <f t="shared" si="5"/>
        <v>859</v>
      </c>
      <c r="F35" s="32">
        <v>1542</v>
      </c>
      <c r="G35" s="32">
        <v>683</v>
      </c>
      <c r="H35" s="32">
        <f>I35-J35</f>
        <v>-132</v>
      </c>
      <c r="I35" s="32">
        <v>5604</v>
      </c>
      <c r="J35" s="32">
        <v>5736</v>
      </c>
      <c r="K35" s="35">
        <v>1222</v>
      </c>
      <c r="L35" s="415">
        <v>475</v>
      </c>
    </row>
    <row r="36" spans="1:12" s="33" customFormat="1" ht="14.25" customHeight="1" x14ac:dyDescent="0.15">
      <c r="A36" s="556" t="s">
        <v>715</v>
      </c>
      <c r="B36" s="557"/>
      <c r="C36" s="864">
        <f t="shared" si="6"/>
        <v>1573</v>
      </c>
      <c r="D36" s="865"/>
      <c r="E36" s="32">
        <f t="shared" si="5"/>
        <v>899</v>
      </c>
      <c r="F36" s="115">
        <v>1540</v>
      </c>
      <c r="G36" s="115">
        <v>641</v>
      </c>
      <c r="H36" s="32">
        <f t="shared" ref="H36:H37" si="7">I36-J36</f>
        <v>674</v>
      </c>
      <c r="I36" s="115">
        <v>6298</v>
      </c>
      <c r="J36" s="115">
        <v>5624</v>
      </c>
      <c r="K36" s="115">
        <v>1271</v>
      </c>
      <c r="L36" s="416">
        <v>428</v>
      </c>
    </row>
    <row r="37" spans="1:12" s="33" customFormat="1" ht="14.25" customHeight="1" x14ac:dyDescent="0.15">
      <c r="A37" s="556" t="s">
        <v>716</v>
      </c>
      <c r="B37" s="557"/>
      <c r="C37" s="864">
        <f>E37+H37</f>
        <v>494</v>
      </c>
      <c r="D37" s="865"/>
      <c r="E37" s="32">
        <f t="shared" si="5"/>
        <v>812</v>
      </c>
      <c r="F37" s="115">
        <v>1452</v>
      </c>
      <c r="G37" s="115">
        <v>640</v>
      </c>
      <c r="H37" s="32">
        <f t="shared" si="7"/>
        <v>-318</v>
      </c>
      <c r="I37" s="115">
        <v>6024</v>
      </c>
      <c r="J37" s="115">
        <v>6342</v>
      </c>
      <c r="K37" s="115">
        <v>1319</v>
      </c>
      <c r="L37" s="416">
        <v>423</v>
      </c>
    </row>
    <row r="38" spans="1:12" s="33" customFormat="1" ht="14.25" customHeight="1" x14ac:dyDescent="0.15">
      <c r="A38" s="556" t="s">
        <v>717</v>
      </c>
      <c r="B38" s="557"/>
      <c r="C38" s="866">
        <f>E38+H38</f>
        <v>28</v>
      </c>
      <c r="D38" s="867"/>
      <c r="E38" s="115">
        <f>F38-G38</f>
        <v>720</v>
      </c>
      <c r="F38" s="115">
        <v>1391</v>
      </c>
      <c r="G38" s="115">
        <v>671</v>
      </c>
      <c r="H38" s="115">
        <f>I38-J38</f>
        <v>-692</v>
      </c>
      <c r="I38" s="115">
        <v>5587</v>
      </c>
      <c r="J38" s="115">
        <v>6279</v>
      </c>
      <c r="K38" s="115">
        <v>1282</v>
      </c>
      <c r="L38" s="416">
        <v>434</v>
      </c>
    </row>
    <row r="39" spans="1:12" s="33" customFormat="1" ht="14.25" customHeight="1" x14ac:dyDescent="0.15">
      <c r="A39" s="556" t="s">
        <v>718</v>
      </c>
      <c r="B39" s="557"/>
      <c r="C39" s="857">
        <f>E39+H39</f>
        <v>-80</v>
      </c>
      <c r="D39" s="858"/>
      <c r="E39" s="115">
        <f>F39-G39</f>
        <v>746</v>
      </c>
      <c r="F39" s="115">
        <v>1433</v>
      </c>
      <c r="G39" s="115">
        <v>687</v>
      </c>
      <c r="H39" s="115">
        <f>I39-J39</f>
        <v>-826</v>
      </c>
      <c r="I39" s="115">
        <v>5477</v>
      </c>
      <c r="J39" s="115">
        <v>6303</v>
      </c>
      <c r="K39" s="115">
        <v>1296</v>
      </c>
      <c r="L39" s="416">
        <v>442</v>
      </c>
    </row>
    <row r="40" spans="1:12" s="33" customFormat="1" ht="14.25" customHeight="1" x14ac:dyDescent="0.15">
      <c r="A40" s="556" t="s">
        <v>719</v>
      </c>
      <c r="B40" s="557"/>
      <c r="C40" s="857">
        <f>E40+H40</f>
        <v>152</v>
      </c>
      <c r="D40" s="858"/>
      <c r="E40" s="115">
        <f>F40-G40</f>
        <v>620</v>
      </c>
      <c r="F40" s="115">
        <v>1350</v>
      </c>
      <c r="G40" s="115">
        <v>730</v>
      </c>
      <c r="H40" s="115">
        <v>-468</v>
      </c>
      <c r="I40" s="115">
        <v>5854</v>
      </c>
      <c r="J40" s="115">
        <v>6322</v>
      </c>
      <c r="K40" s="115">
        <v>1281</v>
      </c>
      <c r="L40" s="416">
        <v>431</v>
      </c>
    </row>
    <row r="41" spans="1:12" s="101" customFormat="1" ht="14.25" customHeight="1" x14ac:dyDescent="0.15">
      <c r="A41" s="556" t="s">
        <v>720</v>
      </c>
      <c r="B41" s="557"/>
      <c r="C41" s="859">
        <f t="shared" ref="C41" si="8">E41+H41</f>
        <v>35</v>
      </c>
      <c r="D41" s="859"/>
      <c r="E41" s="669">
        <f t="shared" ref="E41" si="9">F41-G41</f>
        <v>554</v>
      </c>
      <c r="F41" s="669">
        <f>SUM(F43:F54)</f>
        <v>1291</v>
      </c>
      <c r="G41" s="669">
        <f>SUM(G43:G54)</f>
        <v>737</v>
      </c>
      <c r="H41" s="669">
        <f>I41-J41</f>
        <v>-519</v>
      </c>
      <c r="I41" s="669">
        <f>SUM(I43:I54)</f>
        <v>5634</v>
      </c>
      <c r="J41" s="669">
        <f>SUM(J43:J54)</f>
        <v>6153</v>
      </c>
      <c r="K41" s="669">
        <f>SUM(K43:K54)</f>
        <v>1244</v>
      </c>
      <c r="L41" s="670">
        <f>SUM(L43:L54)</f>
        <v>416</v>
      </c>
    </row>
    <row r="42" spans="1:12" s="101" customFormat="1" ht="9.9499999999999993" customHeight="1" x14ac:dyDescent="0.15">
      <c r="A42" s="572"/>
      <c r="B42" s="573"/>
      <c r="C42" s="671"/>
      <c r="D42" s="669"/>
      <c r="E42" s="669"/>
      <c r="F42" s="669"/>
      <c r="G42" s="669"/>
      <c r="H42" s="669"/>
      <c r="I42" s="669"/>
      <c r="J42" s="669"/>
      <c r="K42" s="669"/>
      <c r="L42" s="670"/>
    </row>
    <row r="43" spans="1:12" s="101" customFormat="1" ht="14.25" customHeight="1" x14ac:dyDescent="0.15">
      <c r="A43" s="860" t="s">
        <v>721</v>
      </c>
      <c r="B43" s="861"/>
      <c r="C43" s="856">
        <f t="shared" ref="C43:C54" si="10">E43+H43</f>
        <v>-11</v>
      </c>
      <c r="D43" s="856"/>
      <c r="E43" s="672">
        <f t="shared" ref="E43:E54" si="11">F43-G43</f>
        <v>19</v>
      </c>
      <c r="F43" s="672">
        <v>91</v>
      </c>
      <c r="G43" s="672">
        <v>72</v>
      </c>
      <c r="H43" s="672">
        <f t="shared" ref="H43:H54" si="12">I43-J43</f>
        <v>-30</v>
      </c>
      <c r="I43" s="672">
        <v>390</v>
      </c>
      <c r="J43" s="672">
        <v>420</v>
      </c>
      <c r="K43" s="672">
        <v>114</v>
      </c>
      <c r="L43" s="673">
        <v>44</v>
      </c>
    </row>
    <row r="44" spans="1:12" s="100" customFormat="1" ht="14.25" customHeight="1" x14ac:dyDescent="0.15">
      <c r="A44" s="860" t="s">
        <v>726</v>
      </c>
      <c r="B44" s="862"/>
      <c r="C44" s="856">
        <f t="shared" si="10"/>
        <v>8</v>
      </c>
      <c r="D44" s="856"/>
      <c r="E44" s="672">
        <f t="shared" si="11"/>
        <v>62</v>
      </c>
      <c r="F44" s="672">
        <v>117</v>
      </c>
      <c r="G44" s="672">
        <v>55</v>
      </c>
      <c r="H44" s="672">
        <f t="shared" si="12"/>
        <v>-54</v>
      </c>
      <c r="I44" s="672">
        <v>354</v>
      </c>
      <c r="J44" s="672">
        <v>408</v>
      </c>
      <c r="K44" s="672">
        <v>81</v>
      </c>
      <c r="L44" s="673">
        <v>31</v>
      </c>
    </row>
    <row r="45" spans="1:12" s="100" customFormat="1" ht="14.25" customHeight="1" x14ac:dyDescent="0.15">
      <c r="A45" s="860" t="s">
        <v>722</v>
      </c>
      <c r="B45" s="862"/>
      <c r="C45" s="856">
        <f t="shared" si="10"/>
        <v>-756</v>
      </c>
      <c r="D45" s="856"/>
      <c r="E45" s="672">
        <f t="shared" si="11"/>
        <v>40</v>
      </c>
      <c r="F45" s="672">
        <v>103</v>
      </c>
      <c r="G45" s="672">
        <v>63</v>
      </c>
      <c r="H45" s="672">
        <f t="shared" si="12"/>
        <v>-796</v>
      </c>
      <c r="I45" s="672">
        <v>933</v>
      </c>
      <c r="J45" s="672">
        <v>1729</v>
      </c>
      <c r="K45" s="672">
        <v>135</v>
      </c>
      <c r="L45" s="673">
        <v>43</v>
      </c>
    </row>
    <row r="46" spans="1:12" s="100" customFormat="1" ht="14.25" customHeight="1" x14ac:dyDescent="0.15">
      <c r="A46" s="860" t="s">
        <v>723</v>
      </c>
      <c r="B46" s="862"/>
      <c r="C46" s="856">
        <f t="shared" si="10"/>
        <v>335</v>
      </c>
      <c r="D46" s="856"/>
      <c r="E46" s="672">
        <f t="shared" si="11"/>
        <v>27</v>
      </c>
      <c r="F46" s="672">
        <v>91</v>
      </c>
      <c r="G46" s="672">
        <v>64</v>
      </c>
      <c r="H46" s="672">
        <f t="shared" si="12"/>
        <v>308</v>
      </c>
      <c r="I46" s="672">
        <v>815</v>
      </c>
      <c r="J46" s="672">
        <v>507</v>
      </c>
      <c r="K46" s="672">
        <v>85</v>
      </c>
      <c r="L46" s="673">
        <v>35</v>
      </c>
    </row>
    <row r="47" spans="1:12" s="100" customFormat="1" ht="14.25" customHeight="1" x14ac:dyDescent="0.15">
      <c r="A47" s="860" t="s">
        <v>724</v>
      </c>
      <c r="B47" s="862"/>
      <c r="C47" s="856">
        <f t="shared" si="10"/>
        <v>96</v>
      </c>
      <c r="D47" s="856"/>
      <c r="E47" s="672">
        <f t="shared" si="11"/>
        <v>29</v>
      </c>
      <c r="F47" s="672">
        <v>96</v>
      </c>
      <c r="G47" s="672">
        <v>67</v>
      </c>
      <c r="H47" s="672">
        <f t="shared" si="12"/>
        <v>67</v>
      </c>
      <c r="I47" s="672">
        <v>462</v>
      </c>
      <c r="J47" s="672">
        <v>395</v>
      </c>
      <c r="K47" s="672">
        <v>112</v>
      </c>
      <c r="L47" s="673">
        <v>34</v>
      </c>
    </row>
    <row r="48" spans="1:12" s="100" customFormat="1" ht="14.25" customHeight="1" x14ac:dyDescent="0.15">
      <c r="A48" s="860" t="s">
        <v>727</v>
      </c>
      <c r="B48" s="862"/>
      <c r="C48" s="856">
        <f t="shared" si="10"/>
        <v>8</v>
      </c>
      <c r="D48" s="856"/>
      <c r="E48" s="672">
        <f t="shared" si="11"/>
        <v>69</v>
      </c>
      <c r="F48" s="672">
        <v>121</v>
      </c>
      <c r="G48" s="672">
        <v>52</v>
      </c>
      <c r="H48" s="672">
        <f t="shared" si="12"/>
        <v>-61</v>
      </c>
      <c r="I48" s="672">
        <v>397</v>
      </c>
      <c r="J48" s="672">
        <v>458</v>
      </c>
      <c r="K48" s="672">
        <v>73</v>
      </c>
      <c r="L48" s="673">
        <v>30</v>
      </c>
    </row>
    <row r="49" spans="1:12" s="100" customFormat="1" ht="14.25" customHeight="1" x14ac:dyDescent="0.15">
      <c r="A49" s="860" t="s">
        <v>725</v>
      </c>
      <c r="B49" s="862"/>
      <c r="C49" s="856">
        <f t="shared" si="10"/>
        <v>48</v>
      </c>
      <c r="D49" s="856"/>
      <c r="E49" s="672">
        <f t="shared" si="11"/>
        <v>61</v>
      </c>
      <c r="F49" s="672">
        <v>120</v>
      </c>
      <c r="G49" s="672">
        <v>59</v>
      </c>
      <c r="H49" s="672">
        <f t="shared" si="12"/>
        <v>-13</v>
      </c>
      <c r="I49" s="672">
        <v>390</v>
      </c>
      <c r="J49" s="672">
        <v>403</v>
      </c>
      <c r="K49" s="672">
        <v>140</v>
      </c>
      <c r="L49" s="673">
        <v>29</v>
      </c>
    </row>
    <row r="50" spans="1:12" s="100" customFormat="1" ht="14.25" customHeight="1" x14ac:dyDescent="0.15">
      <c r="A50" s="860" t="s">
        <v>728</v>
      </c>
      <c r="B50" s="862"/>
      <c r="C50" s="856">
        <f t="shared" si="10"/>
        <v>39</v>
      </c>
      <c r="D50" s="856"/>
      <c r="E50" s="672">
        <f t="shared" si="11"/>
        <v>35</v>
      </c>
      <c r="F50" s="672">
        <v>107</v>
      </c>
      <c r="G50" s="672">
        <v>72</v>
      </c>
      <c r="H50" s="672">
        <f t="shared" si="12"/>
        <v>4</v>
      </c>
      <c r="I50" s="672">
        <v>426</v>
      </c>
      <c r="J50" s="672">
        <v>422</v>
      </c>
      <c r="K50" s="672">
        <v>97</v>
      </c>
      <c r="L50" s="673">
        <v>33</v>
      </c>
    </row>
    <row r="51" spans="1:12" s="100" customFormat="1" ht="14.25" customHeight="1" x14ac:dyDescent="0.15">
      <c r="A51" s="860" t="s">
        <v>729</v>
      </c>
      <c r="B51" s="862"/>
      <c r="C51" s="856">
        <f t="shared" si="10"/>
        <v>10</v>
      </c>
      <c r="D51" s="856"/>
      <c r="E51" s="672">
        <f t="shared" si="11"/>
        <v>69</v>
      </c>
      <c r="F51" s="672">
        <v>118</v>
      </c>
      <c r="G51" s="672">
        <v>49</v>
      </c>
      <c r="H51" s="672">
        <f t="shared" si="12"/>
        <v>-59</v>
      </c>
      <c r="I51" s="672">
        <v>296</v>
      </c>
      <c r="J51" s="672">
        <v>355</v>
      </c>
      <c r="K51" s="672">
        <v>80</v>
      </c>
      <c r="L51" s="673">
        <v>29</v>
      </c>
    </row>
    <row r="52" spans="1:12" s="100" customFormat="1" ht="14.25" customHeight="1" x14ac:dyDescent="0.15">
      <c r="A52" s="860" t="s">
        <v>730</v>
      </c>
      <c r="B52" s="862"/>
      <c r="C52" s="856">
        <f t="shared" si="10"/>
        <v>85</v>
      </c>
      <c r="D52" s="856"/>
      <c r="E52" s="672">
        <f t="shared" si="11"/>
        <v>56</v>
      </c>
      <c r="F52" s="672">
        <v>116</v>
      </c>
      <c r="G52" s="672">
        <v>60</v>
      </c>
      <c r="H52" s="672">
        <f t="shared" si="12"/>
        <v>29</v>
      </c>
      <c r="I52" s="672">
        <v>380</v>
      </c>
      <c r="J52" s="672">
        <v>351</v>
      </c>
      <c r="K52" s="672">
        <v>92</v>
      </c>
      <c r="L52" s="673">
        <v>36</v>
      </c>
    </row>
    <row r="53" spans="1:12" s="100" customFormat="1" ht="14.25" customHeight="1" x14ac:dyDescent="0.15">
      <c r="A53" s="860" t="s">
        <v>731</v>
      </c>
      <c r="B53" s="862"/>
      <c r="C53" s="856">
        <f t="shared" si="10"/>
        <v>117</v>
      </c>
      <c r="D53" s="856"/>
      <c r="E53" s="672">
        <f t="shared" si="11"/>
        <v>40</v>
      </c>
      <c r="F53" s="672">
        <v>100</v>
      </c>
      <c r="G53" s="672">
        <v>60</v>
      </c>
      <c r="H53" s="672">
        <f t="shared" si="12"/>
        <v>77</v>
      </c>
      <c r="I53" s="672">
        <v>414</v>
      </c>
      <c r="J53" s="672">
        <v>337</v>
      </c>
      <c r="K53" s="672">
        <v>118</v>
      </c>
      <c r="L53" s="673">
        <v>46</v>
      </c>
    </row>
    <row r="54" spans="1:12" s="100" customFormat="1" ht="14.25" customHeight="1" thickBot="1" x14ac:dyDescent="0.2">
      <c r="A54" s="860" t="s">
        <v>732</v>
      </c>
      <c r="B54" s="862"/>
      <c r="C54" s="863">
        <f t="shared" si="10"/>
        <v>56</v>
      </c>
      <c r="D54" s="863"/>
      <c r="E54" s="674">
        <f t="shared" si="11"/>
        <v>47</v>
      </c>
      <c r="F54" s="674">
        <v>111</v>
      </c>
      <c r="G54" s="674">
        <v>64</v>
      </c>
      <c r="H54" s="674">
        <f t="shared" si="12"/>
        <v>9</v>
      </c>
      <c r="I54" s="674">
        <v>377</v>
      </c>
      <c r="J54" s="674">
        <v>368</v>
      </c>
      <c r="K54" s="674">
        <v>117</v>
      </c>
      <c r="L54" s="675">
        <v>26</v>
      </c>
    </row>
    <row r="55" spans="1:12" s="100" customFormat="1" ht="14.25" customHeight="1" x14ac:dyDescent="0.15">
      <c r="A55" s="676" t="s">
        <v>535</v>
      </c>
      <c r="B55" s="676"/>
      <c r="C55" s="370"/>
      <c r="D55" s="27"/>
      <c r="E55" s="27"/>
      <c r="F55" s="27"/>
      <c r="G55" s="27"/>
      <c r="H55" s="27"/>
      <c r="I55" s="370"/>
      <c r="J55" s="27"/>
      <c r="K55" s="27"/>
      <c r="L55" s="14" t="s">
        <v>178</v>
      </c>
    </row>
    <row r="56" spans="1:12" ht="18" customHeight="1" x14ac:dyDescent="0.15">
      <c r="B56" s="14"/>
    </row>
  </sheetData>
  <mergeCells count="65">
    <mergeCell ref="C36:D36"/>
    <mergeCell ref="C37:D37"/>
    <mergeCell ref="C38:D38"/>
    <mergeCell ref="C31:D31"/>
    <mergeCell ref="C32:D32"/>
    <mergeCell ref="C33:D33"/>
    <mergeCell ref="C34:D34"/>
    <mergeCell ref="C35:D35"/>
    <mergeCell ref="C26:D26"/>
    <mergeCell ref="C27:D27"/>
    <mergeCell ref="C28:D28"/>
    <mergeCell ref="C29:D29"/>
    <mergeCell ref="C30:D30"/>
    <mergeCell ref="A54:B54"/>
    <mergeCell ref="C54:D54"/>
    <mergeCell ref="C48:D48"/>
    <mergeCell ref="C49:D49"/>
    <mergeCell ref="C50:D50"/>
    <mergeCell ref="C51:D51"/>
    <mergeCell ref="C52:D52"/>
    <mergeCell ref="C53:D53"/>
    <mergeCell ref="A53:B53"/>
    <mergeCell ref="A52:B52"/>
    <mergeCell ref="A51:B51"/>
    <mergeCell ref="A50:B50"/>
    <mergeCell ref="A49:B49"/>
    <mergeCell ref="A48:B48"/>
    <mergeCell ref="C47:D47"/>
    <mergeCell ref="C39:D39"/>
    <mergeCell ref="C40:D40"/>
    <mergeCell ref="C41:D41"/>
    <mergeCell ref="A43:B43"/>
    <mergeCell ref="C43:D43"/>
    <mergeCell ref="C44:D44"/>
    <mergeCell ref="C45:D45"/>
    <mergeCell ref="C46:D46"/>
    <mergeCell ref="A47:B47"/>
    <mergeCell ref="A46:B46"/>
    <mergeCell ref="A45:B45"/>
    <mergeCell ref="A44:B44"/>
    <mergeCell ref="B19:C19"/>
    <mergeCell ref="H22:J22"/>
    <mergeCell ref="C24:D24"/>
    <mergeCell ref="A25:B25"/>
    <mergeCell ref="C25:D25"/>
    <mergeCell ref="A21:F21"/>
    <mergeCell ref="A22:B24"/>
    <mergeCell ref="C22:D23"/>
    <mergeCell ref="E22:G22"/>
    <mergeCell ref="A20:G20"/>
    <mergeCell ref="A3:D3"/>
    <mergeCell ref="A4:D4"/>
    <mergeCell ref="B6:C6"/>
    <mergeCell ref="B7:C7"/>
    <mergeCell ref="B8:C8"/>
    <mergeCell ref="B9:C9"/>
    <mergeCell ref="B10:C10"/>
    <mergeCell ref="B11:C11"/>
    <mergeCell ref="B12:C12"/>
    <mergeCell ref="B13:C13"/>
    <mergeCell ref="B15:C15"/>
    <mergeCell ref="B16:C16"/>
    <mergeCell ref="B17:C17"/>
    <mergeCell ref="B18:C18"/>
    <mergeCell ref="B14:C14"/>
  </mergeCells>
  <phoneticPr fontId="18"/>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50"/>
  <sheetViews>
    <sheetView view="pageBreakPreview" topLeftCell="A33" zoomScale="85" zoomScaleNormal="120" zoomScaleSheetLayoutView="85" workbookViewId="0">
      <selection activeCell="K250" sqref="K250"/>
    </sheetView>
  </sheetViews>
  <sheetFormatPr defaultRowHeight="15.95" customHeight="1" x14ac:dyDescent="0.15"/>
  <cols>
    <col min="1" max="1" width="1.25" style="114" customWidth="1"/>
    <col min="2" max="2" width="8.625" style="114" customWidth="1"/>
    <col min="3" max="3" width="7.375" style="114" customWidth="1"/>
    <col min="4" max="4" width="7.625" style="412" customWidth="1"/>
    <col min="5" max="5" width="7.625" style="114" customWidth="1"/>
    <col min="6" max="6" width="7.625" style="412" customWidth="1"/>
    <col min="7" max="7" width="8.75" style="114" bestFit="1" customWidth="1"/>
    <col min="8" max="8" width="1.25" style="114" customWidth="1"/>
    <col min="9" max="9" width="8.625" style="114" customWidth="1"/>
    <col min="10" max="10" width="6.25" style="114" customWidth="1"/>
    <col min="11" max="11" width="7.125" style="412" customWidth="1"/>
    <col min="12" max="12" width="6.375" style="114" customWidth="1"/>
    <col min="13" max="13" width="7.125" style="412" customWidth="1"/>
    <col min="14" max="14" width="7.5" style="114" customWidth="1"/>
    <col min="15" max="16384" width="9" style="114"/>
  </cols>
  <sheetData>
    <row r="1" spans="1:15" ht="5.0999999999999996" customHeight="1" x14ac:dyDescent="0.15">
      <c r="B1" s="13"/>
      <c r="C1" s="13"/>
      <c r="D1" s="404"/>
      <c r="E1" s="13"/>
      <c r="F1" s="404"/>
      <c r="G1" s="13"/>
      <c r="H1" s="13"/>
      <c r="I1" s="13"/>
      <c r="J1" s="13"/>
      <c r="K1" s="404"/>
      <c r="L1" s="13"/>
      <c r="M1" s="404"/>
      <c r="N1" s="14"/>
    </row>
    <row r="2" spans="1:15" ht="15" customHeight="1" thickBot="1" x14ac:dyDescent="0.2">
      <c r="A2" s="878" t="s">
        <v>687</v>
      </c>
      <c r="B2" s="878"/>
      <c r="C2" s="878"/>
      <c r="D2" s="878"/>
      <c r="E2" s="878"/>
      <c r="F2" s="878"/>
      <c r="G2" s="878"/>
      <c r="H2" s="878"/>
      <c r="I2" s="878"/>
      <c r="J2" s="13"/>
      <c r="K2" s="404"/>
      <c r="L2" s="13"/>
      <c r="M2" s="404"/>
      <c r="N2" s="14" t="s">
        <v>200</v>
      </c>
    </row>
    <row r="3" spans="1:15" s="405" customFormat="1" ht="20.25" customHeight="1" x14ac:dyDescent="0.15">
      <c r="A3" s="840" t="s">
        <v>201</v>
      </c>
      <c r="B3" s="842"/>
      <c r="C3" s="586" t="s">
        <v>421</v>
      </c>
      <c r="D3" s="117" t="s">
        <v>202</v>
      </c>
      <c r="E3" s="586" t="s">
        <v>550</v>
      </c>
      <c r="F3" s="117" t="s">
        <v>202</v>
      </c>
      <c r="G3" s="118" t="s">
        <v>188</v>
      </c>
      <c r="H3" s="830" t="s">
        <v>201</v>
      </c>
      <c r="I3" s="842"/>
      <c r="J3" s="586" t="s">
        <v>551</v>
      </c>
      <c r="K3" s="117" t="s">
        <v>202</v>
      </c>
      <c r="L3" s="586" t="s">
        <v>550</v>
      </c>
      <c r="M3" s="117" t="s">
        <v>202</v>
      </c>
      <c r="N3" s="119" t="s">
        <v>188</v>
      </c>
    </row>
    <row r="4" spans="1:15" s="407" customFormat="1" ht="17.25" customHeight="1" x14ac:dyDescent="0.15">
      <c r="A4" s="881" t="s">
        <v>203</v>
      </c>
      <c r="B4" s="882"/>
      <c r="C4" s="677">
        <f>SUM(C6:C15,C18:C31,J4:J19)</f>
        <v>3554</v>
      </c>
      <c r="D4" s="232">
        <f>SUM(D6:D15,D18:D31,K4:K19)</f>
        <v>1.0000000000000002</v>
      </c>
      <c r="E4" s="678">
        <f>SUM(E6:E15,E18:E31,L4:L19)</f>
        <v>3973</v>
      </c>
      <c r="F4" s="232">
        <f>SUM(F6:F15,F18:F31,M4:M19)</f>
        <v>0.99999999999999978</v>
      </c>
      <c r="G4" s="233">
        <f>SUM(G6:G15,G18:G31,N4:N19)</f>
        <v>-419</v>
      </c>
      <c r="H4" s="244"/>
      <c r="I4" s="242" t="s">
        <v>204</v>
      </c>
      <c r="J4" s="679">
        <v>187</v>
      </c>
      <c r="K4" s="238">
        <f t="shared" ref="K4:K19" si="0">J4/$C$4</f>
        <v>5.2616769836803599E-2</v>
      </c>
      <c r="L4" s="680">
        <v>241</v>
      </c>
      <c r="M4" s="238">
        <f>L4/$E$4</f>
        <v>6.0659451296249688E-2</v>
      </c>
      <c r="N4" s="195">
        <f>J4-L4</f>
        <v>-54</v>
      </c>
      <c r="O4" s="406"/>
    </row>
    <row r="5" spans="1:15" s="409" customFormat="1" ht="17.25" customHeight="1" x14ac:dyDescent="0.15">
      <c r="A5" s="408"/>
      <c r="B5" s="242"/>
      <c r="C5" s="111"/>
      <c r="D5" s="228"/>
      <c r="E5" s="231"/>
      <c r="F5" s="228"/>
      <c r="G5" s="234"/>
      <c r="H5" s="245"/>
      <c r="I5" s="242" t="s">
        <v>205</v>
      </c>
      <c r="J5" s="681">
        <v>51</v>
      </c>
      <c r="K5" s="228">
        <f t="shared" si="0"/>
        <v>1.4350028137310074E-2</v>
      </c>
      <c r="L5" s="682">
        <v>73</v>
      </c>
      <c r="M5" s="228">
        <f t="shared" ref="M5:M19" si="1">L5/$E$4</f>
        <v>1.8374024666498866E-2</v>
      </c>
      <c r="N5" s="195">
        <f t="shared" ref="N5:N19" si="2">J5-L5</f>
        <v>-22</v>
      </c>
    </row>
    <row r="6" spans="1:15" s="409" customFormat="1" ht="17.25" customHeight="1" x14ac:dyDescent="0.15">
      <c r="A6" s="408"/>
      <c r="B6" s="242" t="s">
        <v>206</v>
      </c>
      <c r="C6" s="681">
        <v>1267</v>
      </c>
      <c r="D6" s="228">
        <f>C6/$C$4</f>
        <v>0.35649971862689928</v>
      </c>
      <c r="E6" s="682">
        <v>1188</v>
      </c>
      <c r="F6" s="228">
        <f>E6/$E$4</f>
        <v>0.29901837402466652</v>
      </c>
      <c r="G6" s="234">
        <f>C6-E6</f>
        <v>79</v>
      </c>
      <c r="H6" s="245"/>
      <c r="I6" s="242" t="s">
        <v>207</v>
      </c>
      <c r="J6" s="681">
        <v>35</v>
      </c>
      <c r="K6" s="228">
        <f t="shared" si="0"/>
        <v>9.8480585256049517E-3</v>
      </c>
      <c r="L6" s="682">
        <v>59</v>
      </c>
      <c r="M6" s="228">
        <f t="shared" si="1"/>
        <v>1.4850239114019632E-2</v>
      </c>
      <c r="N6" s="195">
        <f t="shared" si="2"/>
        <v>-24</v>
      </c>
    </row>
    <row r="7" spans="1:15" s="409" customFormat="1" ht="17.25" customHeight="1" x14ac:dyDescent="0.15">
      <c r="A7" s="408"/>
      <c r="B7" s="242" t="s">
        <v>208</v>
      </c>
      <c r="C7" s="681">
        <v>105</v>
      </c>
      <c r="D7" s="228">
        <f t="shared" ref="D7:D15" si="3">C7/$C$4</f>
        <v>2.9544175576814855E-2</v>
      </c>
      <c r="E7" s="682">
        <v>118</v>
      </c>
      <c r="F7" s="228">
        <f t="shared" ref="F7:F15" si="4">E7/$E$4</f>
        <v>2.9700478228039263E-2</v>
      </c>
      <c r="G7" s="234">
        <f t="shared" ref="G7:G15" si="5">C7-E7</f>
        <v>-13</v>
      </c>
      <c r="H7" s="245"/>
      <c r="I7" s="242" t="s">
        <v>209</v>
      </c>
      <c r="J7" s="681">
        <v>69</v>
      </c>
      <c r="K7" s="228">
        <f t="shared" si="0"/>
        <v>1.9414743950478333E-2</v>
      </c>
      <c r="L7" s="682">
        <v>118</v>
      </c>
      <c r="M7" s="228">
        <f t="shared" si="1"/>
        <v>2.9700478228039263E-2</v>
      </c>
      <c r="N7" s="195">
        <f t="shared" si="2"/>
        <v>-49</v>
      </c>
    </row>
    <row r="8" spans="1:15" s="409" customFormat="1" ht="17.25" customHeight="1" x14ac:dyDescent="0.15">
      <c r="A8" s="408"/>
      <c r="B8" s="242" t="s">
        <v>210</v>
      </c>
      <c r="C8" s="681">
        <v>141</v>
      </c>
      <c r="D8" s="228">
        <f t="shared" si="3"/>
        <v>3.9673607203151377E-2</v>
      </c>
      <c r="E8" s="682">
        <v>166</v>
      </c>
      <c r="F8" s="228">
        <f t="shared" si="4"/>
        <v>4.1782028693682353E-2</v>
      </c>
      <c r="G8" s="234">
        <f t="shared" si="5"/>
        <v>-25</v>
      </c>
      <c r="H8" s="245"/>
      <c r="I8" s="242" t="s">
        <v>211</v>
      </c>
      <c r="J8" s="681">
        <v>37</v>
      </c>
      <c r="K8" s="228">
        <f t="shared" si="0"/>
        <v>1.0410804727068092E-2</v>
      </c>
      <c r="L8" s="682">
        <v>37</v>
      </c>
      <c r="M8" s="228">
        <f t="shared" si="1"/>
        <v>9.31286181726655E-3</v>
      </c>
      <c r="N8" s="195">
        <f t="shared" si="2"/>
        <v>0</v>
      </c>
    </row>
    <row r="9" spans="1:15" s="409" customFormat="1" ht="17.25" customHeight="1" x14ac:dyDescent="0.15">
      <c r="A9" s="408"/>
      <c r="B9" s="242" t="s">
        <v>212</v>
      </c>
      <c r="C9" s="681">
        <v>603</v>
      </c>
      <c r="D9" s="228">
        <f t="shared" si="3"/>
        <v>0.16966797974113676</v>
      </c>
      <c r="E9" s="682">
        <v>711</v>
      </c>
      <c r="F9" s="228">
        <f t="shared" si="4"/>
        <v>0.17895796627233829</v>
      </c>
      <c r="G9" s="234">
        <f t="shared" si="5"/>
        <v>-108</v>
      </c>
      <c r="H9" s="245"/>
      <c r="I9" s="242" t="s">
        <v>213</v>
      </c>
      <c r="J9" s="681">
        <v>2</v>
      </c>
      <c r="K9" s="228">
        <f t="shared" si="0"/>
        <v>5.6274620146314015E-4</v>
      </c>
      <c r="L9" s="682">
        <v>1</v>
      </c>
      <c r="M9" s="228">
        <f t="shared" si="1"/>
        <v>2.5169896803423108E-4</v>
      </c>
      <c r="N9" s="195">
        <f t="shared" si="2"/>
        <v>1</v>
      </c>
    </row>
    <row r="10" spans="1:15" s="409" customFormat="1" ht="17.25" customHeight="1" x14ac:dyDescent="0.15">
      <c r="A10" s="408"/>
      <c r="B10" s="242" t="s">
        <v>214</v>
      </c>
      <c r="C10" s="681">
        <v>53</v>
      </c>
      <c r="D10" s="228">
        <f t="shared" si="3"/>
        <v>1.4912774338773213E-2</v>
      </c>
      <c r="E10" s="682">
        <v>89</v>
      </c>
      <c r="F10" s="228">
        <f t="shared" si="4"/>
        <v>2.2401208155046565E-2</v>
      </c>
      <c r="G10" s="234">
        <f t="shared" si="5"/>
        <v>-36</v>
      </c>
      <c r="H10" s="245"/>
      <c r="I10" s="242" t="s">
        <v>215</v>
      </c>
      <c r="J10" s="681">
        <v>3</v>
      </c>
      <c r="K10" s="228">
        <f t="shared" si="0"/>
        <v>8.4411930219471017E-4</v>
      </c>
      <c r="L10" s="682">
        <v>5</v>
      </c>
      <c r="M10" s="228">
        <f t="shared" si="1"/>
        <v>1.2584948401711553E-3</v>
      </c>
      <c r="N10" s="195">
        <f t="shared" si="2"/>
        <v>-2</v>
      </c>
    </row>
    <row r="11" spans="1:15" s="409" customFormat="1" ht="17.25" customHeight="1" x14ac:dyDescent="0.15">
      <c r="A11" s="408"/>
      <c r="B11" s="242" t="s">
        <v>216</v>
      </c>
      <c r="C11" s="681">
        <v>130</v>
      </c>
      <c r="D11" s="228">
        <f t="shared" si="3"/>
        <v>3.657850309510411E-2</v>
      </c>
      <c r="E11" s="682">
        <v>128</v>
      </c>
      <c r="F11" s="228">
        <f t="shared" si="4"/>
        <v>3.2217467908381578E-2</v>
      </c>
      <c r="G11" s="234">
        <f t="shared" si="5"/>
        <v>2</v>
      </c>
      <c r="H11" s="245"/>
      <c r="I11" s="242" t="s">
        <v>217</v>
      </c>
      <c r="J11" s="681">
        <v>8</v>
      </c>
      <c r="K11" s="228">
        <f t="shared" si="0"/>
        <v>2.2509848058525606E-3</v>
      </c>
      <c r="L11" s="682">
        <v>1</v>
      </c>
      <c r="M11" s="228">
        <f t="shared" si="1"/>
        <v>2.5169896803423108E-4</v>
      </c>
      <c r="N11" s="195">
        <f t="shared" si="2"/>
        <v>7</v>
      </c>
    </row>
    <row r="12" spans="1:15" s="409" customFormat="1" ht="17.25" customHeight="1" x14ac:dyDescent="0.15">
      <c r="A12" s="408"/>
      <c r="B12" s="242" t="s">
        <v>218</v>
      </c>
      <c r="C12" s="681">
        <v>123</v>
      </c>
      <c r="D12" s="228">
        <f t="shared" si="3"/>
        <v>3.4608891389983118E-2</v>
      </c>
      <c r="E12" s="682">
        <v>126</v>
      </c>
      <c r="F12" s="228">
        <f t="shared" si="4"/>
        <v>3.1714069972313116E-2</v>
      </c>
      <c r="G12" s="234">
        <f t="shared" si="5"/>
        <v>-3</v>
      </c>
      <c r="H12" s="245"/>
      <c r="I12" s="242" t="s">
        <v>219</v>
      </c>
      <c r="J12" s="681">
        <v>1</v>
      </c>
      <c r="K12" s="228">
        <f t="shared" si="0"/>
        <v>2.8137310073157008E-4</v>
      </c>
      <c r="L12" s="682">
        <v>1</v>
      </c>
      <c r="M12" s="228">
        <f t="shared" si="1"/>
        <v>2.5169896803423108E-4</v>
      </c>
      <c r="N12" s="195">
        <f t="shared" si="2"/>
        <v>0</v>
      </c>
    </row>
    <row r="13" spans="1:15" s="409" customFormat="1" ht="17.25" customHeight="1" x14ac:dyDescent="0.15">
      <c r="A13" s="408"/>
      <c r="B13" s="242" t="s">
        <v>220</v>
      </c>
      <c r="C13" s="681">
        <v>76</v>
      </c>
      <c r="D13" s="228">
        <f t="shared" si="3"/>
        <v>2.1384355655599326E-2</v>
      </c>
      <c r="E13" s="682">
        <v>125</v>
      </c>
      <c r="F13" s="228">
        <f t="shared" si="4"/>
        <v>3.1462371004278886E-2</v>
      </c>
      <c r="G13" s="234">
        <f t="shared" si="5"/>
        <v>-49</v>
      </c>
      <c r="H13" s="245"/>
      <c r="I13" s="242" t="s">
        <v>221</v>
      </c>
      <c r="J13" s="681">
        <v>6</v>
      </c>
      <c r="K13" s="228">
        <f t="shared" si="0"/>
        <v>1.6882386043894203E-3</v>
      </c>
      <c r="L13" s="682">
        <v>12</v>
      </c>
      <c r="M13" s="228">
        <f t="shared" si="1"/>
        <v>3.0203876164107729E-3</v>
      </c>
      <c r="N13" s="195">
        <f t="shared" si="2"/>
        <v>-6</v>
      </c>
    </row>
    <row r="14" spans="1:15" s="409" customFormat="1" ht="17.25" customHeight="1" x14ac:dyDescent="0.15">
      <c r="A14" s="408"/>
      <c r="B14" s="242" t="s">
        <v>222</v>
      </c>
      <c r="C14" s="681">
        <v>218</v>
      </c>
      <c r="D14" s="228">
        <f t="shared" si="3"/>
        <v>6.1339335959482273E-2</v>
      </c>
      <c r="E14" s="682">
        <v>223</v>
      </c>
      <c r="F14" s="228">
        <f t="shared" si="4"/>
        <v>5.6128869871633527E-2</v>
      </c>
      <c r="G14" s="234">
        <f t="shared" si="5"/>
        <v>-5</v>
      </c>
      <c r="H14" s="245"/>
      <c r="I14" s="242" t="s">
        <v>223</v>
      </c>
      <c r="J14" s="681">
        <v>8</v>
      </c>
      <c r="K14" s="228">
        <f t="shared" si="0"/>
        <v>2.2509848058525606E-3</v>
      </c>
      <c r="L14" s="682">
        <v>1</v>
      </c>
      <c r="M14" s="228">
        <f t="shared" si="1"/>
        <v>2.5169896803423108E-4</v>
      </c>
      <c r="N14" s="195">
        <f t="shared" si="2"/>
        <v>7</v>
      </c>
    </row>
    <row r="15" spans="1:15" s="409" customFormat="1" ht="17.25" customHeight="1" x14ac:dyDescent="0.15">
      <c r="A15" s="408"/>
      <c r="B15" s="242" t="s">
        <v>224</v>
      </c>
      <c r="C15" s="681">
        <v>105</v>
      </c>
      <c r="D15" s="228">
        <f t="shared" si="3"/>
        <v>2.9544175576814855E-2</v>
      </c>
      <c r="E15" s="682">
        <v>145</v>
      </c>
      <c r="F15" s="228">
        <f t="shared" si="4"/>
        <v>3.6496350364963501E-2</v>
      </c>
      <c r="G15" s="234">
        <f t="shared" si="5"/>
        <v>-40</v>
      </c>
      <c r="H15" s="244"/>
      <c r="I15" s="242" t="s">
        <v>225</v>
      </c>
      <c r="J15" s="681">
        <v>6</v>
      </c>
      <c r="K15" s="228">
        <f t="shared" si="0"/>
        <v>1.6882386043894203E-3</v>
      </c>
      <c r="L15" s="682">
        <v>4</v>
      </c>
      <c r="M15" s="228">
        <f t="shared" si="1"/>
        <v>1.0067958721369243E-3</v>
      </c>
      <c r="N15" s="195">
        <f t="shared" si="2"/>
        <v>2</v>
      </c>
    </row>
    <row r="16" spans="1:15" s="409" customFormat="1" ht="17.25" customHeight="1" x14ac:dyDescent="0.15">
      <c r="A16" s="883" t="s">
        <v>226</v>
      </c>
      <c r="B16" s="884"/>
      <c r="C16" s="109">
        <f>SUM(C6:C15)</f>
        <v>2821</v>
      </c>
      <c r="D16" s="227">
        <f>SUM(D6:D15)</f>
        <v>0.7937535171637593</v>
      </c>
      <c r="E16" s="230">
        <f>SUM(E6:E15)</f>
        <v>3019</v>
      </c>
      <c r="F16" s="227">
        <f>SUM(F6:F15)</f>
        <v>0.75987918449534353</v>
      </c>
      <c r="G16" s="233">
        <f>SUM(G6:G15)</f>
        <v>-198</v>
      </c>
      <c r="H16" s="244"/>
      <c r="I16" s="242" t="s">
        <v>227</v>
      </c>
      <c r="J16" s="681">
        <v>18</v>
      </c>
      <c r="K16" s="228">
        <f t="shared" si="0"/>
        <v>5.064715813168261E-3</v>
      </c>
      <c r="L16" s="682">
        <v>4</v>
      </c>
      <c r="M16" s="228">
        <f t="shared" si="1"/>
        <v>1.0067958721369243E-3</v>
      </c>
      <c r="N16" s="195">
        <f t="shared" si="2"/>
        <v>14</v>
      </c>
    </row>
    <row r="17" spans="1:14" s="409" customFormat="1" ht="17.25" customHeight="1" x14ac:dyDescent="0.15">
      <c r="A17" s="408"/>
      <c r="B17" s="591"/>
      <c r="C17" s="109"/>
      <c r="D17" s="227"/>
      <c r="E17" s="230"/>
      <c r="F17" s="227"/>
      <c r="G17" s="233"/>
      <c r="H17" s="245"/>
      <c r="I17" s="242" t="s">
        <v>228</v>
      </c>
      <c r="J17" s="681">
        <v>3</v>
      </c>
      <c r="K17" s="228">
        <f t="shared" si="0"/>
        <v>8.4411930219471017E-4</v>
      </c>
      <c r="L17" s="682">
        <v>3</v>
      </c>
      <c r="M17" s="228">
        <f t="shared" si="1"/>
        <v>7.5509690410269323E-4</v>
      </c>
      <c r="N17" s="195">
        <f t="shared" si="2"/>
        <v>0</v>
      </c>
    </row>
    <row r="18" spans="1:14" s="409" customFormat="1" ht="17.25" customHeight="1" x14ac:dyDescent="0.15">
      <c r="A18" s="408"/>
      <c r="B18" s="242" t="s">
        <v>229</v>
      </c>
      <c r="C18" s="681">
        <v>7</v>
      </c>
      <c r="D18" s="228">
        <f t="shared" ref="D18:D31" si="6">C18/$C$4</f>
        <v>1.9696117051209903E-3</v>
      </c>
      <c r="E18" s="682">
        <v>18</v>
      </c>
      <c r="F18" s="228">
        <f t="shared" ref="F18:F31" si="7">E18/$E$4</f>
        <v>4.5305814246161587E-3</v>
      </c>
      <c r="G18" s="234">
        <f t="shared" ref="G18:G31" si="8">C18-E18</f>
        <v>-11</v>
      </c>
      <c r="H18" s="245"/>
      <c r="I18" s="242" t="s">
        <v>230</v>
      </c>
      <c r="J18" s="681">
        <v>14</v>
      </c>
      <c r="K18" s="228">
        <f t="shared" si="0"/>
        <v>3.9392234102419805E-3</v>
      </c>
      <c r="L18" s="682">
        <v>10</v>
      </c>
      <c r="M18" s="228">
        <f t="shared" si="1"/>
        <v>2.5169896803423106E-3</v>
      </c>
      <c r="N18" s="195">
        <f t="shared" si="2"/>
        <v>4</v>
      </c>
    </row>
    <row r="19" spans="1:14" s="409" customFormat="1" ht="17.25" customHeight="1" x14ac:dyDescent="0.15">
      <c r="A19" s="408"/>
      <c r="B19" s="242" t="s">
        <v>231</v>
      </c>
      <c r="C19" s="681">
        <v>4</v>
      </c>
      <c r="D19" s="228">
        <f t="shared" si="6"/>
        <v>1.1254924029262803E-3</v>
      </c>
      <c r="E19" s="682">
        <v>8</v>
      </c>
      <c r="F19" s="228">
        <f t="shared" si="7"/>
        <v>2.0135917442738486E-3</v>
      </c>
      <c r="G19" s="234">
        <f t="shared" si="8"/>
        <v>-4</v>
      </c>
      <c r="H19" s="245"/>
      <c r="I19" s="242" t="s">
        <v>232</v>
      </c>
      <c r="J19" s="681">
        <v>6</v>
      </c>
      <c r="K19" s="228">
        <f t="shared" si="0"/>
        <v>1.6882386043894203E-3</v>
      </c>
      <c r="L19" s="682">
        <v>3</v>
      </c>
      <c r="M19" s="228">
        <f t="shared" si="1"/>
        <v>7.5509690410269323E-4</v>
      </c>
      <c r="N19" s="195">
        <f t="shared" si="2"/>
        <v>3</v>
      </c>
    </row>
    <row r="20" spans="1:14" s="409" customFormat="1" ht="17.25" customHeight="1" x14ac:dyDescent="0.15">
      <c r="A20" s="408"/>
      <c r="B20" s="242" t="s">
        <v>233</v>
      </c>
      <c r="C20" s="681">
        <v>3</v>
      </c>
      <c r="D20" s="228">
        <f t="shared" si="6"/>
        <v>8.4411930219471017E-4</v>
      </c>
      <c r="E20" s="682">
        <v>2</v>
      </c>
      <c r="F20" s="228">
        <f t="shared" si="7"/>
        <v>5.0339793606846216E-4</v>
      </c>
      <c r="G20" s="234">
        <f t="shared" si="8"/>
        <v>1</v>
      </c>
      <c r="H20" s="879" t="s">
        <v>234</v>
      </c>
      <c r="I20" s="880"/>
      <c r="J20" s="109">
        <f>SUM(C18:C31,J4:J19)</f>
        <v>733</v>
      </c>
      <c r="K20" s="227">
        <f>SUM(D18:D31,K4:K19)</f>
        <v>0.20624648283624078</v>
      </c>
      <c r="L20" s="230">
        <f>SUM(E18:E31,L4:L19)</f>
        <v>954</v>
      </c>
      <c r="M20" s="227">
        <f>SUM(F18:F31,M4:M19)</f>
        <v>0.24012081550465642</v>
      </c>
      <c r="N20" s="239">
        <f>SUM(G18:G31,N4:N19)</f>
        <v>-221</v>
      </c>
    </row>
    <row r="21" spans="1:14" s="409" customFormat="1" ht="17.25" customHeight="1" x14ac:dyDescent="0.15">
      <c r="A21" s="408"/>
      <c r="B21" s="242" t="s">
        <v>235</v>
      </c>
      <c r="C21" s="681">
        <v>10</v>
      </c>
      <c r="D21" s="228">
        <f t="shared" si="6"/>
        <v>2.8137310073157004E-3</v>
      </c>
      <c r="E21" s="682">
        <v>12</v>
      </c>
      <c r="F21" s="228">
        <f t="shared" si="7"/>
        <v>3.0203876164107729E-3</v>
      </c>
      <c r="G21" s="234">
        <f t="shared" si="8"/>
        <v>-2</v>
      </c>
      <c r="H21" s="112"/>
      <c r="I21" s="110"/>
      <c r="J21" s="111"/>
      <c r="K21" s="228"/>
      <c r="L21" s="231"/>
      <c r="M21" s="228"/>
      <c r="N21" s="240"/>
    </row>
    <row r="22" spans="1:14" s="409" customFormat="1" ht="17.25" customHeight="1" x14ac:dyDescent="0.15">
      <c r="A22" s="408"/>
      <c r="B22" s="242" t="s">
        <v>236</v>
      </c>
      <c r="C22" s="681">
        <v>15</v>
      </c>
      <c r="D22" s="228">
        <f t="shared" si="6"/>
        <v>4.2205965109735509E-3</v>
      </c>
      <c r="E22" s="682">
        <v>19</v>
      </c>
      <c r="F22" s="228">
        <f t="shared" si="7"/>
        <v>4.7822803926503904E-3</v>
      </c>
      <c r="G22" s="234">
        <f t="shared" si="8"/>
        <v>-4</v>
      </c>
      <c r="H22" s="112"/>
      <c r="I22" s="110"/>
      <c r="J22" s="111"/>
      <c r="K22" s="228"/>
      <c r="L22" s="231"/>
      <c r="M22" s="228"/>
      <c r="N22" s="240"/>
    </row>
    <row r="23" spans="1:14" s="409" customFormat="1" ht="17.25" customHeight="1" x14ac:dyDescent="0.15">
      <c r="A23" s="408"/>
      <c r="B23" s="242" t="s">
        <v>237</v>
      </c>
      <c r="C23" s="681">
        <v>18</v>
      </c>
      <c r="D23" s="228">
        <f t="shared" si="6"/>
        <v>5.064715813168261E-3</v>
      </c>
      <c r="E23" s="682">
        <v>19</v>
      </c>
      <c r="F23" s="228">
        <f t="shared" si="7"/>
        <v>4.7822803926503904E-3</v>
      </c>
      <c r="G23" s="234">
        <f t="shared" si="8"/>
        <v>-1</v>
      </c>
      <c r="H23" s="112"/>
      <c r="I23" s="110"/>
      <c r="J23" s="111"/>
      <c r="K23" s="228"/>
      <c r="L23" s="231"/>
      <c r="M23" s="228"/>
      <c r="N23" s="240"/>
    </row>
    <row r="24" spans="1:14" s="409" customFormat="1" ht="17.25" customHeight="1" x14ac:dyDescent="0.15">
      <c r="A24" s="408"/>
      <c r="B24" s="242" t="s">
        <v>238</v>
      </c>
      <c r="C24" s="681">
        <v>1</v>
      </c>
      <c r="D24" s="228">
        <f t="shared" si="6"/>
        <v>2.8137310073157008E-4</v>
      </c>
      <c r="E24" s="682">
        <v>6</v>
      </c>
      <c r="F24" s="228">
        <f t="shared" si="7"/>
        <v>1.5101938082053865E-3</v>
      </c>
      <c r="G24" s="234">
        <f t="shared" si="8"/>
        <v>-5</v>
      </c>
      <c r="H24" s="112"/>
      <c r="I24" s="110"/>
      <c r="J24" s="111"/>
      <c r="K24" s="228"/>
      <c r="L24" s="231"/>
      <c r="M24" s="228"/>
      <c r="N24" s="240"/>
    </row>
    <row r="25" spans="1:14" s="409" customFormat="1" ht="17.25" customHeight="1" x14ac:dyDescent="0.15">
      <c r="A25" s="408"/>
      <c r="B25" s="242" t="s">
        <v>239</v>
      </c>
      <c r="C25" s="681">
        <v>15</v>
      </c>
      <c r="D25" s="228">
        <f t="shared" si="6"/>
        <v>4.2205965109735509E-3</v>
      </c>
      <c r="E25" s="682">
        <v>11</v>
      </c>
      <c r="F25" s="228">
        <f t="shared" si="7"/>
        <v>2.7686886483765417E-3</v>
      </c>
      <c r="G25" s="234">
        <f t="shared" si="8"/>
        <v>4</v>
      </c>
      <c r="H25" s="112"/>
      <c r="I25" s="110"/>
      <c r="J25" s="111"/>
      <c r="K25" s="228"/>
      <c r="L25" s="231"/>
      <c r="M25" s="228"/>
      <c r="N25" s="240"/>
    </row>
    <row r="26" spans="1:14" s="409" customFormat="1" ht="17.25" customHeight="1" x14ac:dyDescent="0.15">
      <c r="A26" s="408"/>
      <c r="B26" s="242" t="s">
        <v>240</v>
      </c>
      <c r="C26" s="681">
        <v>19</v>
      </c>
      <c r="D26" s="228">
        <f t="shared" si="6"/>
        <v>5.3460889138998314E-3</v>
      </c>
      <c r="E26" s="682">
        <v>16</v>
      </c>
      <c r="F26" s="228">
        <f t="shared" si="7"/>
        <v>4.0271834885476972E-3</v>
      </c>
      <c r="G26" s="234">
        <f t="shared" si="8"/>
        <v>3</v>
      </c>
      <c r="H26" s="112"/>
      <c r="I26" s="110"/>
      <c r="J26" s="111"/>
      <c r="K26" s="228"/>
      <c r="L26" s="231"/>
      <c r="M26" s="228"/>
      <c r="N26" s="240"/>
    </row>
    <row r="27" spans="1:14" s="409" customFormat="1" ht="17.25" customHeight="1" x14ac:dyDescent="0.15">
      <c r="A27" s="408"/>
      <c r="B27" s="242" t="s">
        <v>241</v>
      </c>
      <c r="C27" s="681">
        <v>56</v>
      </c>
      <c r="D27" s="228">
        <f t="shared" si="6"/>
        <v>1.5756893640967922E-2</v>
      </c>
      <c r="E27" s="682">
        <v>45</v>
      </c>
      <c r="F27" s="228">
        <f t="shared" si="7"/>
        <v>1.1326453561540398E-2</v>
      </c>
      <c r="G27" s="234">
        <f t="shared" si="8"/>
        <v>11</v>
      </c>
      <c r="H27" s="113"/>
      <c r="I27" s="110"/>
      <c r="J27" s="111"/>
      <c r="K27" s="228"/>
      <c r="L27" s="231"/>
      <c r="M27" s="228"/>
      <c r="N27" s="240"/>
    </row>
    <row r="28" spans="1:14" s="409" customFormat="1" ht="17.25" customHeight="1" x14ac:dyDescent="0.15">
      <c r="A28" s="408"/>
      <c r="B28" s="242" t="s">
        <v>242</v>
      </c>
      <c r="C28" s="681">
        <v>13</v>
      </c>
      <c r="D28" s="228">
        <f t="shared" si="6"/>
        <v>3.6578503095104106E-3</v>
      </c>
      <c r="E28" s="682">
        <v>33</v>
      </c>
      <c r="F28" s="228">
        <f t="shared" si="7"/>
        <v>8.3060659451296252E-3</v>
      </c>
      <c r="G28" s="234">
        <f t="shared" si="8"/>
        <v>-20</v>
      </c>
      <c r="H28" s="112"/>
      <c r="I28" s="110"/>
      <c r="J28" s="111"/>
      <c r="K28" s="228"/>
      <c r="L28" s="231"/>
      <c r="M28" s="228"/>
      <c r="N28" s="240"/>
    </row>
    <row r="29" spans="1:14" s="409" customFormat="1" ht="17.25" customHeight="1" x14ac:dyDescent="0.15">
      <c r="A29" s="408"/>
      <c r="B29" s="242" t="s">
        <v>243</v>
      </c>
      <c r="C29" s="681">
        <v>45</v>
      </c>
      <c r="D29" s="228">
        <f t="shared" si="6"/>
        <v>1.2661789532920653E-2</v>
      </c>
      <c r="E29" s="682">
        <v>70</v>
      </c>
      <c r="F29" s="228">
        <f t="shared" si="7"/>
        <v>1.7618927762396173E-2</v>
      </c>
      <c r="G29" s="234">
        <f t="shared" si="8"/>
        <v>-25</v>
      </c>
      <c r="H29" s="112"/>
      <c r="I29" s="102"/>
      <c r="J29" s="111"/>
      <c r="K29" s="228"/>
      <c r="L29" s="231"/>
      <c r="M29" s="228"/>
      <c r="N29" s="240"/>
    </row>
    <row r="30" spans="1:14" s="409" customFormat="1" ht="17.25" customHeight="1" x14ac:dyDescent="0.15">
      <c r="A30" s="408"/>
      <c r="B30" s="242" t="s">
        <v>244</v>
      </c>
      <c r="C30" s="681">
        <v>22</v>
      </c>
      <c r="D30" s="228">
        <f t="shared" si="6"/>
        <v>6.1902082160945416E-3</v>
      </c>
      <c r="E30" s="682">
        <v>47</v>
      </c>
      <c r="F30" s="228">
        <f t="shared" si="7"/>
        <v>1.1829851497608859E-2</v>
      </c>
      <c r="G30" s="234">
        <f t="shared" si="8"/>
        <v>-25</v>
      </c>
      <c r="H30" s="112"/>
      <c r="I30" s="110"/>
      <c r="J30" s="111"/>
      <c r="K30" s="228"/>
      <c r="L30" s="231"/>
      <c r="M30" s="228"/>
      <c r="N30" s="240"/>
    </row>
    <row r="31" spans="1:14" s="411" customFormat="1" ht="17.25" customHeight="1" thickBot="1" x14ac:dyDescent="0.2">
      <c r="A31" s="410"/>
      <c r="B31" s="243" t="s">
        <v>245</v>
      </c>
      <c r="C31" s="683">
        <v>51</v>
      </c>
      <c r="D31" s="229">
        <f t="shared" si="6"/>
        <v>1.4350028137310074E-2</v>
      </c>
      <c r="E31" s="684">
        <v>75</v>
      </c>
      <c r="F31" s="229">
        <f t="shared" si="7"/>
        <v>1.8877422602567331E-2</v>
      </c>
      <c r="G31" s="235">
        <f t="shared" si="8"/>
        <v>-24</v>
      </c>
      <c r="H31" s="121"/>
      <c r="I31" s="122"/>
      <c r="J31" s="123"/>
      <c r="K31" s="236"/>
      <c r="L31" s="237"/>
      <c r="M31" s="236"/>
      <c r="N31" s="241"/>
    </row>
    <row r="32" spans="1:14" ht="13.5" customHeight="1" x14ac:dyDescent="0.15">
      <c r="B32" s="13"/>
      <c r="C32" s="13"/>
      <c r="D32" s="404"/>
      <c r="E32" s="13"/>
      <c r="F32" s="404"/>
      <c r="G32" s="13"/>
      <c r="H32" s="13"/>
      <c r="I32" s="13"/>
      <c r="J32" s="13"/>
      <c r="K32" s="404"/>
      <c r="N32" s="14" t="s">
        <v>178</v>
      </c>
    </row>
    <row r="33" spans="1:16" ht="11.25" customHeight="1" x14ac:dyDescent="0.15">
      <c r="B33" s="13"/>
      <c r="C33" s="13"/>
      <c r="D33" s="404"/>
      <c r="E33" s="13"/>
      <c r="F33" s="404"/>
      <c r="G33" s="13"/>
      <c r="H33" s="13"/>
      <c r="I33" s="13"/>
      <c r="J33" s="13"/>
      <c r="K33" s="404"/>
      <c r="L33" s="13"/>
      <c r="M33" s="404"/>
      <c r="N33" s="13"/>
    </row>
    <row r="34" spans="1:16" s="685" customFormat="1" ht="15.75" customHeight="1" thickBot="1" x14ac:dyDescent="0.2">
      <c r="B34" s="13" t="s">
        <v>688</v>
      </c>
      <c r="D34" s="686"/>
      <c r="F34" s="686"/>
      <c r="K34" s="686"/>
      <c r="M34" s="686"/>
      <c r="N34" s="14" t="s">
        <v>200</v>
      </c>
    </row>
    <row r="35" spans="1:16" s="687" customFormat="1" ht="15.75" customHeight="1" x14ac:dyDescent="0.15">
      <c r="A35" s="840" t="s">
        <v>552</v>
      </c>
      <c r="B35" s="830"/>
      <c r="C35" s="830"/>
      <c r="D35" s="830"/>
      <c r="E35" s="830"/>
      <c r="F35" s="830"/>
      <c r="G35" s="830"/>
      <c r="H35" s="813" t="s">
        <v>553</v>
      </c>
      <c r="I35" s="813"/>
      <c r="J35" s="813"/>
      <c r="K35" s="813"/>
      <c r="L35" s="813"/>
      <c r="M35" s="813"/>
      <c r="N35" s="885"/>
      <c r="P35" s="114"/>
    </row>
    <row r="36" spans="1:16" s="689" customFormat="1" ht="15.75" customHeight="1" x14ac:dyDescent="0.15">
      <c r="A36" s="688"/>
      <c r="B36" s="116" t="s">
        <v>554</v>
      </c>
      <c r="C36" s="814" t="s">
        <v>555</v>
      </c>
      <c r="D36" s="814"/>
      <c r="E36" s="814" t="s">
        <v>556</v>
      </c>
      <c r="F36" s="814"/>
      <c r="G36" s="587" t="s">
        <v>202</v>
      </c>
      <c r="H36" s="587"/>
      <c r="I36" s="116" t="s">
        <v>557</v>
      </c>
      <c r="J36" s="814" t="s">
        <v>558</v>
      </c>
      <c r="K36" s="814"/>
      <c r="L36" s="814" t="s">
        <v>559</v>
      </c>
      <c r="M36" s="814"/>
      <c r="N36" s="246" t="s">
        <v>202</v>
      </c>
    </row>
    <row r="37" spans="1:16" s="690" customFormat="1" ht="16.5" customHeight="1" x14ac:dyDescent="0.15">
      <c r="A37" s="890" t="s">
        <v>36</v>
      </c>
      <c r="B37" s="887"/>
      <c r="C37" s="889" t="s">
        <v>692</v>
      </c>
      <c r="D37" s="889"/>
      <c r="E37" s="888">
        <v>289</v>
      </c>
      <c r="F37" s="888"/>
      <c r="G37" s="107">
        <f t="shared" ref="G37:G48" si="9">E37/$E$49*100</f>
        <v>14.3424317617866</v>
      </c>
      <c r="H37" s="886" t="s">
        <v>36</v>
      </c>
      <c r="I37" s="887"/>
      <c r="J37" s="889" t="s">
        <v>692</v>
      </c>
      <c r="K37" s="889"/>
      <c r="L37" s="888">
        <v>383</v>
      </c>
      <c r="M37" s="888"/>
      <c r="N37" s="247">
        <f>L37/$L$49*100</f>
        <v>18.457831325301203</v>
      </c>
    </row>
    <row r="38" spans="1:16" s="690" customFormat="1" ht="16.5" customHeight="1" x14ac:dyDescent="0.15">
      <c r="A38" s="868" t="s">
        <v>37</v>
      </c>
      <c r="B38" s="869"/>
      <c r="C38" s="875" t="s">
        <v>693</v>
      </c>
      <c r="D38" s="875"/>
      <c r="E38" s="873">
        <v>153</v>
      </c>
      <c r="F38" s="873"/>
      <c r="G38" s="107">
        <f t="shared" si="9"/>
        <v>7.5930521091811425</v>
      </c>
      <c r="H38" s="874" t="s">
        <v>37</v>
      </c>
      <c r="I38" s="869"/>
      <c r="J38" s="875" t="s">
        <v>694</v>
      </c>
      <c r="K38" s="875"/>
      <c r="L38" s="873">
        <v>217</v>
      </c>
      <c r="M38" s="873"/>
      <c r="N38" s="248">
        <f t="shared" ref="N38:N48" si="10">L38/$L$49*100</f>
        <v>10.457831325301205</v>
      </c>
    </row>
    <row r="39" spans="1:16" s="690" customFormat="1" ht="16.5" customHeight="1" x14ac:dyDescent="0.15">
      <c r="A39" s="868" t="s">
        <v>38</v>
      </c>
      <c r="B39" s="869"/>
      <c r="C39" s="875" t="s">
        <v>694</v>
      </c>
      <c r="D39" s="875"/>
      <c r="E39" s="873">
        <v>120</v>
      </c>
      <c r="F39" s="873"/>
      <c r="G39" s="107">
        <f t="shared" si="9"/>
        <v>5.9553349875930524</v>
      </c>
      <c r="H39" s="874" t="s">
        <v>38</v>
      </c>
      <c r="I39" s="869"/>
      <c r="J39" s="875" t="s">
        <v>695</v>
      </c>
      <c r="K39" s="875"/>
      <c r="L39" s="873">
        <v>197</v>
      </c>
      <c r="M39" s="873"/>
      <c r="N39" s="248">
        <f t="shared" si="10"/>
        <v>9.4939759036144569</v>
      </c>
    </row>
    <row r="40" spans="1:16" s="690" customFormat="1" ht="16.5" customHeight="1" x14ac:dyDescent="0.15">
      <c r="A40" s="868" t="s">
        <v>39</v>
      </c>
      <c r="B40" s="869"/>
      <c r="C40" s="875" t="s">
        <v>695</v>
      </c>
      <c r="D40" s="875"/>
      <c r="E40" s="873">
        <v>113</v>
      </c>
      <c r="F40" s="873"/>
      <c r="G40" s="107">
        <f t="shared" si="9"/>
        <v>5.6079404466501241</v>
      </c>
      <c r="H40" s="874" t="s">
        <v>39</v>
      </c>
      <c r="I40" s="869"/>
      <c r="J40" s="875" t="s">
        <v>693</v>
      </c>
      <c r="K40" s="875"/>
      <c r="L40" s="873">
        <v>183</v>
      </c>
      <c r="M40" s="873"/>
      <c r="N40" s="248">
        <f t="shared" si="10"/>
        <v>8.8192771084337345</v>
      </c>
    </row>
    <row r="41" spans="1:16" s="690" customFormat="1" ht="16.5" customHeight="1" x14ac:dyDescent="0.15">
      <c r="A41" s="868" t="s">
        <v>44</v>
      </c>
      <c r="B41" s="869"/>
      <c r="C41" s="875" t="s">
        <v>696</v>
      </c>
      <c r="D41" s="875"/>
      <c r="E41" s="873">
        <v>106</v>
      </c>
      <c r="F41" s="873"/>
      <c r="G41" s="107">
        <f t="shared" si="9"/>
        <v>5.2605459057071959</v>
      </c>
      <c r="H41" s="874" t="s">
        <v>44</v>
      </c>
      <c r="I41" s="869"/>
      <c r="J41" s="875" t="s">
        <v>696</v>
      </c>
      <c r="K41" s="875"/>
      <c r="L41" s="873">
        <v>124</v>
      </c>
      <c r="M41" s="873"/>
      <c r="N41" s="248">
        <f t="shared" si="10"/>
        <v>5.9759036144578319</v>
      </c>
    </row>
    <row r="42" spans="1:16" s="690" customFormat="1" ht="16.5" customHeight="1" x14ac:dyDescent="0.15">
      <c r="A42" s="868" t="s">
        <v>560</v>
      </c>
      <c r="B42" s="869"/>
      <c r="C42" s="875" t="s">
        <v>697</v>
      </c>
      <c r="D42" s="875"/>
      <c r="E42" s="873">
        <v>72</v>
      </c>
      <c r="F42" s="873"/>
      <c r="G42" s="107">
        <f t="shared" si="9"/>
        <v>3.5732009925558312</v>
      </c>
      <c r="H42" s="874" t="s">
        <v>45</v>
      </c>
      <c r="I42" s="869"/>
      <c r="J42" s="875" t="s">
        <v>697</v>
      </c>
      <c r="K42" s="875"/>
      <c r="L42" s="873">
        <v>107</v>
      </c>
      <c r="M42" s="873"/>
      <c r="N42" s="248">
        <f t="shared" si="10"/>
        <v>5.1566265060240966</v>
      </c>
    </row>
    <row r="43" spans="1:16" s="690" customFormat="1" ht="16.5" customHeight="1" x14ac:dyDescent="0.15">
      <c r="A43" s="868" t="s">
        <v>46</v>
      </c>
      <c r="B43" s="869"/>
      <c r="C43" s="875" t="s">
        <v>698</v>
      </c>
      <c r="D43" s="875"/>
      <c r="E43" s="873">
        <v>66</v>
      </c>
      <c r="F43" s="873"/>
      <c r="G43" s="107">
        <f t="shared" si="9"/>
        <v>3.2754342431761785</v>
      </c>
      <c r="H43" s="874" t="s">
        <v>46</v>
      </c>
      <c r="I43" s="869"/>
      <c r="J43" s="875" t="s">
        <v>698</v>
      </c>
      <c r="K43" s="875"/>
      <c r="L43" s="873">
        <v>83</v>
      </c>
      <c r="M43" s="873"/>
      <c r="N43" s="248">
        <f t="shared" si="10"/>
        <v>4</v>
      </c>
    </row>
    <row r="44" spans="1:16" s="690" customFormat="1" ht="16.5" customHeight="1" x14ac:dyDescent="0.15">
      <c r="A44" s="868" t="s">
        <v>47</v>
      </c>
      <c r="B44" s="869"/>
      <c r="C44" s="875" t="s">
        <v>699</v>
      </c>
      <c r="D44" s="875"/>
      <c r="E44" s="873">
        <v>55</v>
      </c>
      <c r="F44" s="873"/>
      <c r="G44" s="107">
        <f t="shared" si="9"/>
        <v>2.7295285359801489</v>
      </c>
      <c r="H44" s="874" t="s">
        <v>47</v>
      </c>
      <c r="I44" s="869"/>
      <c r="J44" s="875" t="s">
        <v>701</v>
      </c>
      <c r="K44" s="875"/>
      <c r="L44" s="873">
        <v>76</v>
      </c>
      <c r="M44" s="873"/>
      <c r="N44" s="248">
        <f t="shared" si="10"/>
        <v>3.6626506024096388</v>
      </c>
    </row>
    <row r="45" spans="1:16" s="690" customFormat="1" ht="16.5" customHeight="1" x14ac:dyDescent="0.15">
      <c r="A45" s="868" t="s">
        <v>48</v>
      </c>
      <c r="B45" s="869"/>
      <c r="C45" s="875" t="s">
        <v>700</v>
      </c>
      <c r="D45" s="875"/>
      <c r="E45" s="873">
        <v>49</v>
      </c>
      <c r="F45" s="873"/>
      <c r="G45" s="107">
        <f t="shared" si="9"/>
        <v>2.4317617866004961</v>
      </c>
      <c r="H45" s="874" t="s">
        <v>48</v>
      </c>
      <c r="I45" s="869"/>
      <c r="J45" s="875" t="s">
        <v>699</v>
      </c>
      <c r="K45" s="875"/>
      <c r="L45" s="873">
        <v>37</v>
      </c>
      <c r="M45" s="873"/>
      <c r="N45" s="248">
        <f t="shared" si="10"/>
        <v>1.7831325301204819</v>
      </c>
    </row>
    <row r="46" spans="1:16" s="690" customFormat="1" ht="16.5" customHeight="1" x14ac:dyDescent="0.15">
      <c r="A46" s="868">
        <v>10</v>
      </c>
      <c r="B46" s="869"/>
      <c r="C46" s="875" t="s">
        <v>701</v>
      </c>
      <c r="D46" s="875"/>
      <c r="E46" s="873">
        <v>47</v>
      </c>
      <c r="F46" s="873"/>
      <c r="G46" s="107">
        <f t="shared" si="9"/>
        <v>2.3325062034739457</v>
      </c>
      <c r="H46" s="874">
        <v>10</v>
      </c>
      <c r="I46" s="869"/>
      <c r="J46" s="875" t="s">
        <v>703</v>
      </c>
      <c r="K46" s="875"/>
      <c r="L46" s="873">
        <v>37</v>
      </c>
      <c r="M46" s="873"/>
      <c r="N46" s="248">
        <f t="shared" si="10"/>
        <v>1.7831325301204819</v>
      </c>
    </row>
    <row r="47" spans="1:16" s="690" customFormat="1" ht="16.5" customHeight="1" x14ac:dyDescent="0.15">
      <c r="A47" s="691"/>
      <c r="B47" s="103"/>
      <c r="C47" s="870" t="s">
        <v>702</v>
      </c>
      <c r="D47" s="870"/>
      <c r="E47" s="873">
        <v>456</v>
      </c>
      <c r="F47" s="873"/>
      <c r="G47" s="107">
        <f t="shared" si="9"/>
        <v>22.630272952853598</v>
      </c>
      <c r="H47" s="104"/>
      <c r="I47" s="103"/>
      <c r="J47" s="870" t="s">
        <v>702</v>
      </c>
      <c r="K47" s="870"/>
      <c r="L47" s="873">
        <v>464</v>
      </c>
      <c r="M47" s="873"/>
      <c r="N47" s="248">
        <f t="shared" si="10"/>
        <v>22.361445783132531</v>
      </c>
    </row>
    <row r="48" spans="1:16" s="690" customFormat="1" ht="16.5" customHeight="1" x14ac:dyDescent="0.15">
      <c r="A48" s="692"/>
      <c r="B48" s="105"/>
      <c r="C48" s="875" t="s">
        <v>247</v>
      </c>
      <c r="D48" s="875"/>
      <c r="E48" s="872">
        <v>489</v>
      </c>
      <c r="F48" s="872"/>
      <c r="G48" s="108">
        <f t="shared" si="9"/>
        <v>24.267990074441688</v>
      </c>
      <c r="H48" s="106"/>
      <c r="I48" s="105"/>
      <c r="J48" s="875" t="s">
        <v>247</v>
      </c>
      <c r="K48" s="875"/>
      <c r="L48" s="872">
        <v>167</v>
      </c>
      <c r="M48" s="872"/>
      <c r="N48" s="249">
        <f t="shared" si="10"/>
        <v>8.0481927710843379</v>
      </c>
    </row>
    <row r="49" spans="1:14" s="687" customFormat="1" ht="16.5" customHeight="1" thickBot="1" x14ac:dyDescent="0.2">
      <c r="A49" s="876" t="s">
        <v>561</v>
      </c>
      <c r="B49" s="877"/>
      <c r="C49" s="877"/>
      <c r="D49" s="877"/>
      <c r="E49" s="871">
        <f>SUM(E37:F48)</f>
        <v>2015</v>
      </c>
      <c r="F49" s="871"/>
      <c r="G49" s="250">
        <f>SUM(G37:G48)</f>
        <v>100</v>
      </c>
      <c r="H49" s="877" t="s">
        <v>562</v>
      </c>
      <c r="I49" s="877"/>
      <c r="J49" s="877"/>
      <c r="K49" s="877"/>
      <c r="L49" s="871">
        <f>SUM(L37:M48)</f>
        <v>2075</v>
      </c>
      <c r="M49" s="871"/>
      <c r="N49" s="251">
        <f>SUM(N37:N48)</f>
        <v>100</v>
      </c>
    </row>
    <row r="50" spans="1:14" s="685" customFormat="1" ht="13.5" customHeight="1" x14ac:dyDescent="0.15">
      <c r="A50" s="693"/>
      <c r="B50" s="13" t="s">
        <v>248</v>
      </c>
      <c r="C50" s="685" t="s">
        <v>249</v>
      </c>
      <c r="D50" s="686"/>
      <c r="F50" s="686"/>
      <c r="K50" s="686"/>
      <c r="L50" s="13"/>
      <c r="M50" s="686"/>
      <c r="N50" s="14" t="s">
        <v>178</v>
      </c>
    </row>
  </sheetData>
  <sheetProtection sheet="1" objects="1" scenarios="1"/>
  <mergeCells count="84">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 ref="E36:F36"/>
    <mergeCell ref="J36:K36"/>
    <mergeCell ref="L37:M37"/>
    <mergeCell ref="E37:F37"/>
    <mergeCell ref="C39:D39"/>
    <mergeCell ref="L39:M39"/>
    <mergeCell ref="J39:K39"/>
    <mergeCell ref="L38:M38"/>
    <mergeCell ref="J37:K37"/>
    <mergeCell ref="H39:I39"/>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H44:I44"/>
    <mergeCell ref="H43:I43"/>
    <mergeCell ref="J42:K42"/>
    <mergeCell ref="L43:M43"/>
    <mergeCell ref="J44:K44"/>
    <mergeCell ref="L44:M44"/>
    <mergeCell ref="J43:K43"/>
    <mergeCell ref="H42:I42"/>
    <mergeCell ref="J40:K40"/>
    <mergeCell ref="L40:M40"/>
    <mergeCell ref="H41:I41"/>
    <mergeCell ref="H40:I40"/>
    <mergeCell ref="J41:K41"/>
    <mergeCell ref="L41:M41"/>
    <mergeCell ref="C45:D45"/>
    <mergeCell ref="E43:F43"/>
    <mergeCell ref="C43:D43"/>
    <mergeCell ref="E45:F45"/>
    <mergeCell ref="C44:D44"/>
    <mergeCell ref="E44:F44"/>
    <mergeCell ref="H45:I45"/>
    <mergeCell ref="L46:M46"/>
    <mergeCell ref="L47:M47"/>
    <mergeCell ref="J46:K46"/>
    <mergeCell ref="L45:M45"/>
    <mergeCell ref="J45:K45"/>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s>
  <phoneticPr fontId="18"/>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3"/>
  <sheetViews>
    <sheetView view="pageBreakPreview" zoomScaleNormal="100" zoomScaleSheetLayoutView="100" workbookViewId="0">
      <selection activeCell="K250" sqref="K250"/>
    </sheetView>
  </sheetViews>
  <sheetFormatPr defaultRowHeight="15" customHeight="1" x14ac:dyDescent="0.15"/>
  <cols>
    <col min="1" max="1" width="1.25" style="38" customWidth="1"/>
    <col min="2" max="2" width="4.375" style="38" customWidth="1"/>
    <col min="3" max="3" width="9" style="38" customWidth="1"/>
    <col min="4" max="4" width="1.25" style="38" customWidth="1"/>
    <col min="5" max="11" width="9.5" style="38" customWidth="1"/>
    <col min="12" max="12" width="9.5" style="39" customWidth="1"/>
    <col min="13" max="13" width="0.875" style="38" customWidth="1"/>
    <col min="14" max="14" width="11.125" style="38" customWidth="1"/>
    <col min="15" max="15" width="9.5" style="38" customWidth="1"/>
    <col min="16" max="16" width="9.625" style="38" customWidth="1"/>
    <col min="17" max="17" width="9.5" style="38" customWidth="1"/>
    <col min="18" max="19" width="4.625" style="38" customWidth="1"/>
    <col min="20" max="22" width="9.875" style="38" customWidth="1"/>
    <col min="23" max="23" width="12.75" style="38" customWidth="1"/>
    <col min="24" max="24" width="15" style="38" customWidth="1"/>
    <col min="25" max="16384" width="9" style="38"/>
  </cols>
  <sheetData>
    <row r="1" spans="1:24" ht="4.5" customHeight="1" x14ac:dyDescent="0.15">
      <c r="A1" s="40"/>
      <c r="B1" s="41"/>
      <c r="C1" s="42"/>
      <c r="D1" s="42"/>
      <c r="E1" s="42"/>
      <c r="F1" s="42"/>
      <c r="G1" s="42"/>
      <c r="H1" s="42"/>
      <c r="I1" s="42"/>
      <c r="J1" s="42"/>
      <c r="K1" s="42"/>
      <c r="L1" s="42"/>
    </row>
    <row r="2" spans="1:24" ht="15" customHeight="1" x14ac:dyDescent="0.15">
      <c r="A2" s="40" t="s">
        <v>663</v>
      </c>
      <c r="B2" s="41"/>
      <c r="C2" s="42"/>
      <c r="D2" s="42"/>
      <c r="E2" s="42"/>
      <c r="F2" s="42"/>
      <c r="G2" s="42"/>
      <c r="H2" s="42"/>
      <c r="I2" s="42"/>
      <c r="J2" s="42"/>
      <c r="K2" s="42"/>
      <c r="L2" s="42"/>
    </row>
    <row r="3" spans="1:24" ht="5.0999999999999996" customHeight="1" x14ac:dyDescent="0.15">
      <c r="A3" s="40"/>
      <c r="B3" s="41"/>
      <c r="C3" s="42"/>
      <c r="D3" s="42"/>
      <c r="E3" s="42"/>
      <c r="F3" s="42"/>
      <c r="G3" s="42"/>
      <c r="H3" s="42"/>
      <c r="I3" s="42"/>
      <c r="J3" s="42"/>
      <c r="K3" s="42"/>
      <c r="L3" s="42"/>
    </row>
    <row r="4" spans="1:24" s="43" customFormat="1" ht="86.25" customHeight="1" x14ac:dyDescent="0.15">
      <c r="A4" s="935" t="s">
        <v>621</v>
      </c>
      <c r="B4" s="935"/>
      <c r="C4" s="935"/>
      <c r="D4" s="935"/>
      <c r="E4" s="935"/>
      <c r="F4" s="935"/>
      <c r="G4" s="935"/>
      <c r="H4" s="935"/>
      <c r="I4" s="935"/>
      <c r="J4" s="935"/>
      <c r="K4" s="935"/>
      <c r="L4" s="935"/>
      <c r="N4" s="935" t="s">
        <v>664</v>
      </c>
      <c r="O4" s="935"/>
      <c r="P4" s="935"/>
      <c r="Q4" s="935"/>
      <c r="R4" s="935"/>
      <c r="S4" s="935"/>
      <c r="T4" s="935"/>
      <c r="U4" s="935"/>
      <c r="V4" s="935"/>
      <c r="W4" s="935"/>
    </row>
    <row r="5" spans="1:24" ht="10.5" customHeight="1" x14ac:dyDescent="0.15">
      <c r="A5" s="936"/>
      <c r="B5" s="936"/>
      <c r="C5" s="936"/>
      <c r="D5" s="936"/>
      <c r="E5" s="936"/>
      <c r="F5" s="936"/>
      <c r="G5" s="936"/>
      <c r="H5" s="936"/>
      <c r="I5" s="936"/>
      <c r="J5" s="936"/>
      <c r="K5" s="936"/>
      <c r="L5" s="936"/>
      <c r="M5" s="44"/>
      <c r="N5" s="937"/>
      <c r="O5" s="937"/>
      <c r="P5" s="937"/>
      <c r="Q5" s="937"/>
      <c r="R5" s="937"/>
      <c r="S5" s="937"/>
      <c r="T5" s="937"/>
      <c r="U5" s="937"/>
      <c r="V5" s="937"/>
      <c r="W5" s="937"/>
    </row>
    <row r="6" spans="1:24" ht="15" customHeight="1" thickBot="1" x14ac:dyDescent="0.2">
      <c r="B6" s="5" t="s">
        <v>614</v>
      </c>
      <c r="C6" s="5"/>
      <c r="D6" s="5"/>
      <c r="E6" s="45"/>
      <c r="F6" s="45"/>
      <c r="G6" s="45"/>
      <c r="I6" s="45"/>
      <c r="K6" s="45"/>
      <c r="L6" s="46"/>
      <c r="N6" s="5" t="s">
        <v>615</v>
      </c>
    </row>
    <row r="7" spans="1:24" ht="15" customHeight="1" x14ac:dyDescent="0.15">
      <c r="A7" s="912" t="s">
        <v>250</v>
      </c>
      <c r="B7" s="913"/>
      <c r="C7" s="913"/>
      <c r="D7" s="913"/>
      <c r="E7" s="913" t="s">
        <v>251</v>
      </c>
      <c r="F7" s="913"/>
      <c r="G7" s="913" t="s">
        <v>252</v>
      </c>
      <c r="H7" s="913"/>
      <c r="I7" s="913" t="s">
        <v>253</v>
      </c>
      <c r="J7" s="913"/>
      <c r="K7" s="913"/>
      <c r="L7" s="932"/>
      <c r="M7" s="39"/>
      <c r="N7" s="159" t="s">
        <v>254</v>
      </c>
      <c r="O7" s="941" t="s">
        <v>619</v>
      </c>
      <c r="P7" s="942"/>
      <c r="Q7" s="929" t="s">
        <v>255</v>
      </c>
      <c r="R7" s="922"/>
      <c r="S7" s="922"/>
      <c r="T7" s="933"/>
      <c r="U7" s="830" t="s">
        <v>256</v>
      </c>
      <c r="V7" s="940"/>
      <c r="W7" s="418"/>
    </row>
    <row r="8" spans="1:24" ht="15" customHeight="1" x14ac:dyDescent="0.15">
      <c r="A8" s="914"/>
      <c r="B8" s="915"/>
      <c r="C8" s="915"/>
      <c r="D8" s="915"/>
      <c r="E8" s="915"/>
      <c r="F8" s="915"/>
      <c r="G8" s="915"/>
      <c r="H8" s="915"/>
      <c r="I8" s="939" t="s">
        <v>20</v>
      </c>
      <c r="J8" s="939"/>
      <c r="K8" s="435" t="s">
        <v>21</v>
      </c>
      <c r="L8" s="439" t="s">
        <v>22</v>
      </c>
      <c r="M8" s="420"/>
      <c r="N8" s="421" t="s">
        <v>594</v>
      </c>
      <c r="O8" s="417" t="s">
        <v>257</v>
      </c>
      <c r="P8" s="417" t="s">
        <v>258</v>
      </c>
      <c r="Q8" s="422" t="s">
        <v>616</v>
      </c>
      <c r="R8" s="831" t="s">
        <v>617</v>
      </c>
      <c r="S8" s="938"/>
      <c r="T8" s="417" t="s">
        <v>259</v>
      </c>
      <c r="U8" s="457" t="s">
        <v>26</v>
      </c>
      <c r="V8" s="246" t="s">
        <v>618</v>
      </c>
    </row>
    <row r="9" spans="1:24" ht="15" customHeight="1" x14ac:dyDescent="0.15">
      <c r="A9" s="156"/>
      <c r="B9" s="898" t="s">
        <v>246</v>
      </c>
      <c r="C9" s="898"/>
      <c r="D9" s="94"/>
      <c r="E9" s="910">
        <v>2281.12</v>
      </c>
      <c r="F9" s="910"/>
      <c r="G9" s="934">
        <v>560424</v>
      </c>
      <c r="H9" s="934"/>
      <c r="I9" s="934">
        <v>1433566</v>
      </c>
      <c r="J9" s="934"/>
      <c r="K9" s="433">
        <v>704619</v>
      </c>
      <c r="L9" s="440">
        <v>728947</v>
      </c>
      <c r="M9" s="39"/>
      <c r="N9" s="160">
        <v>1392818</v>
      </c>
      <c r="O9" s="264">
        <f>I9-N9</f>
        <v>40748</v>
      </c>
      <c r="P9" s="265">
        <f>O9/N9*100</f>
        <v>2.9255796521871487</v>
      </c>
      <c r="Q9" s="48">
        <v>1000</v>
      </c>
      <c r="R9" s="927">
        <f>(I9/$I$9)*1000</f>
        <v>1000</v>
      </c>
      <c r="S9" s="927"/>
      <c r="T9" s="272">
        <v>0</v>
      </c>
      <c r="U9" s="467">
        <v>611.9</v>
      </c>
      <c r="V9" s="276">
        <v>628.4</v>
      </c>
      <c r="W9" s="945"/>
      <c r="X9" s="898"/>
    </row>
    <row r="10" spans="1:24" ht="15" customHeight="1" x14ac:dyDescent="0.15">
      <c r="A10" s="156"/>
      <c r="B10" s="898" t="s">
        <v>206</v>
      </c>
      <c r="C10" s="898"/>
      <c r="D10" s="94"/>
      <c r="E10" s="910">
        <v>39.57</v>
      </c>
      <c r="F10" s="910"/>
      <c r="G10" s="908">
        <v>135532</v>
      </c>
      <c r="H10" s="908"/>
      <c r="I10" s="908">
        <v>319435</v>
      </c>
      <c r="J10" s="908"/>
      <c r="K10" s="433">
        <v>154685</v>
      </c>
      <c r="L10" s="440">
        <v>164750</v>
      </c>
      <c r="M10" s="39"/>
      <c r="N10" s="161">
        <v>315954</v>
      </c>
      <c r="O10" s="266">
        <f t="shared" ref="O10:O23" si="0">I10-N10</f>
        <v>3481</v>
      </c>
      <c r="P10" s="267">
        <f t="shared" ref="P10:P23" si="1">O10/N10*100</f>
        <v>1.1017426587414625</v>
      </c>
      <c r="Q10" s="49">
        <v>226.8</v>
      </c>
      <c r="R10" s="901">
        <f>(I10/$I$9)*1000</f>
        <v>222.82545763501645</v>
      </c>
      <c r="S10" s="901"/>
      <c r="T10" s="273">
        <f>R10-Q10</f>
        <v>-3.9745423649835629</v>
      </c>
      <c r="U10" s="468">
        <v>8051.8</v>
      </c>
      <c r="V10" s="277">
        <v>8072.7</v>
      </c>
      <c r="W10" s="945"/>
      <c r="X10" s="898"/>
    </row>
    <row r="11" spans="1:24" ht="15" customHeight="1" x14ac:dyDescent="0.15">
      <c r="A11" s="156"/>
      <c r="B11" s="898" t="s">
        <v>208</v>
      </c>
      <c r="C11" s="898"/>
      <c r="D11" s="94"/>
      <c r="E11" s="910">
        <v>87.01</v>
      </c>
      <c r="F11" s="910"/>
      <c r="G11" s="908">
        <v>42378</v>
      </c>
      <c r="H11" s="908"/>
      <c r="I11" s="908">
        <v>118898</v>
      </c>
      <c r="J11" s="908"/>
      <c r="K11" s="433">
        <v>59409</v>
      </c>
      <c r="L11" s="440">
        <v>59489</v>
      </c>
      <c r="M11" s="39"/>
      <c r="N11" s="161">
        <v>116979</v>
      </c>
      <c r="O11" s="266">
        <f t="shared" si="0"/>
        <v>1919</v>
      </c>
      <c r="P11" s="267">
        <f t="shared" si="1"/>
        <v>1.6404653826755229</v>
      </c>
      <c r="Q11" s="49">
        <v>84</v>
      </c>
      <c r="R11" s="901">
        <f t="shared" ref="R11:R23" si="2">(I11/$I$9)*1000</f>
        <v>82.938629961927106</v>
      </c>
      <c r="S11" s="901"/>
      <c r="T11" s="273">
        <f>R11-Q11</f>
        <v>-1.0613700380728943</v>
      </c>
      <c r="U11" s="468">
        <v>1359</v>
      </c>
      <c r="V11" s="277">
        <v>1366.5</v>
      </c>
      <c r="W11" s="945"/>
      <c r="X11" s="898"/>
    </row>
    <row r="12" spans="1:24" ht="15" customHeight="1" x14ac:dyDescent="0.15">
      <c r="A12" s="156"/>
      <c r="B12" s="898" t="s">
        <v>212</v>
      </c>
      <c r="C12" s="898"/>
      <c r="D12" s="94"/>
      <c r="E12" s="910">
        <v>19.8</v>
      </c>
      <c r="F12" s="910"/>
      <c r="G12" s="908">
        <v>39333</v>
      </c>
      <c r="H12" s="908"/>
      <c r="I12" s="908">
        <v>96243</v>
      </c>
      <c r="J12" s="908"/>
      <c r="K12" s="433">
        <v>47022</v>
      </c>
      <c r="L12" s="440">
        <v>49221</v>
      </c>
      <c r="M12" s="39"/>
      <c r="N12" s="161">
        <v>91928</v>
      </c>
      <c r="O12" s="266">
        <f>I12-N12</f>
        <v>4315</v>
      </c>
      <c r="P12" s="267">
        <f t="shared" si="1"/>
        <v>4.6938908711165261</v>
      </c>
      <c r="Q12" s="49">
        <v>66</v>
      </c>
      <c r="R12" s="901">
        <f t="shared" si="2"/>
        <v>67.135381279968968</v>
      </c>
      <c r="S12" s="901"/>
      <c r="T12" s="273">
        <f t="shared" ref="T12:T22" si="3">R12-Q12</f>
        <v>1.1353812799689678</v>
      </c>
      <c r="U12" s="468">
        <v>4666.3999999999996</v>
      </c>
      <c r="V12" s="277">
        <v>4860.8</v>
      </c>
      <c r="W12" s="945"/>
      <c r="X12" s="898"/>
    </row>
    <row r="13" spans="1:24" ht="15" customHeight="1" x14ac:dyDescent="0.15">
      <c r="A13" s="156"/>
      <c r="B13" s="898" t="s">
        <v>210</v>
      </c>
      <c r="C13" s="898"/>
      <c r="D13" s="94"/>
      <c r="E13" s="910">
        <v>204.2</v>
      </c>
      <c r="F13" s="910"/>
      <c r="G13" s="908">
        <v>21977</v>
      </c>
      <c r="H13" s="908"/>
      <c r="I13" s="908">
        <v>51186</v>
      </c>
      <c r="J13" s="908"/>
      <c r="K13" s="433">
        <v>25131</v>
      </c>
      <c r="L13" s="440">
        <v>26055</v>
      </c>
      <c r="M13" s="39"/>
      <c r="N13" s="161">
        <v>52039</v>
      </c>
      <c r="O13" s="268">
        <f t="shared" si="0"/>
        <v>-853</v>
      </c>
      <c r="P13" s="269">
        <f t="shared" si="1"/>
        <v>-1.6391552489479044</v>
      </c>
      <c r="Q13" s="49">
        <v>37.4</v>
      </c>
      <c r="R13" s="901">
        <f t="shared" si="2"/>
        <v>35.70536689625731</v>
      </c>
      <c r="S13" s="901"/>
      <c r="T13" s="273">
        <f t="shared" si="3"/>
        <v>-1.6946331037426887</v>
      </c>
      <c r="U13" s="468">
        <v>254.4</v>
      </c>
      <c r="V13" s="277">
        <v>250.7</v>
      </c>
      <c r="W13" s="945"/>
      <c r="X13" s="898"/>
    </row>
    <row r="14" spans="1:24" ht="15" customHeight="1" x14ac:dyDescent="0.15">
      <c r="A14" s="156"/>
      <c r="B14" s="898" t="s">
        <v>216</v>
      </c>
      <c r="C14" s="898"/>
      <c r="D14" s="94"/>
      <c r="E14" s="910">
        <v>229.34</v>
      </c>
      <c r="F14" s="910"/>
      <c r="G14" s="908">
        <v>20514</v>
      </c>
      <c r="H14" s="908"/>
      <c r="I14" s="908">
        <v>47564</v>
      </c>
      <c r="J14" s="908"/>
      <c r="K14" s="433">
        <v>23659</v>
      </c>
      <c r="L14" s="440">
        <v>23905</v>
      </c>
      <c r="M14" s="39"/>
      <c r="N14" s="161">
        <v>46922</v>
      </c>
      <c r="O14" s="266">
        <f t="shared" si="0"/>
        <v>642</v>
      </c>
      <c r="P14" s="267">
        <f t="shared" si="1"/>
        <v>1.3682281232684028</v>
      </c>
      <c r="Q14" s="49">
        <v>33.700000000000003</v>
      </c>
      <c r="R14" s="901">
        <f t="shared" si="2"/>
        <v>33.178800278466426</v>
      </c>
      <c r="S14" s="901"/>
      <c r="T14" s="273">
        <f t="shared" si="3"/>
        <v>-0.52119972153357708</v>
      </c>
      <c r="U14" s="468">
        <v>204.9</v>
      </c>
      <c r="V14" s="277">
        <v>207.4</v>
      </c>
      <c r="W14" s="945"/>
      <c r="X14" s="898"/>
    </row>
    <row r="15" spans="1:24" ht="15" customHeight="1" x14ac:dyDescent="0.15">
      <c r="A15" s="156"/>
      <c r="B15" s="903" t="s">
        <v>260</v>
      </c>
      <c r="C15" s="903"/>
      <c r="D15" s="437"/>
      <c r="E15" s="943">
        <v>19.48</v>
      </c>
      <c r="F15" s="943"/>
      <c r="G15" s="928">
        <v>44041</v>
      </c>
      <c r="H15" s="928"/>
      <c r="I15" s="928">
        <v>114232</v>
      </c>
      <c r="J15" s="928"/>
      <c r="K15" s="436">
        <v>55471</v>
      </c>
      <c r="L15" s="441">
        <v>58761</v>
      </c>
      <c r="M15" s="39"/>
      <c r="N15" s="162">
        <v>110351</v>
      </c>
      <c r="O15" s="270">
        <f t="shared" si="0"/>
        <v>3881</v>
      </c>
      <c r="P15" s="378">
        <f t="shared" si="1"/>
        <v>3.5169595200768455</v>
      </c>
      <c r="Q15" s="52">
        <v>79.2</v>
      </c>
      <c r="R15" s="944">
        <f>(I15/$I$9)*1000</f>
        <v>79.683809465347252</v>
      </c>
      <c r="S15" s="944"/>
      <c r="T15" s="274">
        <f t="shared" si="3"/>
        <v>0.48380946534724956</v>
      </c>
      <c r="U15" s="469">
        <v>5780.6</v>
      </c>
      <c r="V15" s="278">
        <v>5864.1</v>
      </c>
      <c r="W15" s="946"/>
      <c r="X15" s="903"/>
    </row>
    <row r="16" spans="1:24" ht="15" customHeight="1" x14ac:dyDescent="0.15">
      <c r="A16" s="156"/>
      <c r="B16" s="898" t="s">
        <v>218</v>
      </c>
      <c r="C16" s="898"/>
      <c r="D16" s="94"/>
      <c r="E16" s="910">
        <v>210.9</v>
      </c>
      <c r="F16" s="910"/>
      <c r="G16" s="908">
        <v>26142</v>
      </c>
      <c r="H16" s="908"/>
      <c r="I16" s="908">
        <v>61674</v>
      </c>
      <c r="J16" s="908"/>
      <c r="K16" s="433">
        <v>30626</v>
      </c>
      <c r="L16" s="440">
        <v>31048</v>
      </c>
      <c r="M16" s="39"/>
      <c r="N16" s="161">
        <v>60231</v>
      </c>
      <c r="O16" s="266">
        <f t="shared" si="0"/>
        <v>1443</v>
      </c>
      <c r="P16" s="267">
        <f t="shared" si="1"/>
        <v>2.3957762613936349</v>
      </c>
      <c r="Q16" s="49">
        <v>43.2</v>
      </c>
      <c r="R16" s="901">
        <f t="shared" si="2"/>
        <v>43.021388621102901</v>
      </c>
      <c r="S16" s="901"/>
      <c r="T16" s="273">
        <f t="shared" si="3"/>
        <v>-0.17861137889710221</v>
      </c>
      <c r="U16" s="468">
        <v>286.3</v>
      </c>
      <c r="V16" s="277">
        <v>292.39999999999998</v>
      </c>
      <c r="W16" s="945"/>
      <c r="X16" s="898"/>
    </row>
    <row r="17" spans="1:24" ht="15" customHeight="1" x14ac:dyDescent="0.15">
      <c r="A17" s="156"/>
      <c r="B17" s="898" t="s">
        <v>220</v>
      </c>
      <c r="C17" s="898"/>
      <c r="D17" s="94"/>
      <c r="E17" s="910">
        <v>46.62</v>
      </c>
      <c r="F17" s="910"/>
      <c r="G17" s="908">
        <v>20647</v>
      </c>
      <c r="H17" s="908"/>
      <c r="I17" s="908">
        <v>58547</v>
      </c>
      <c r="J17" s="908"/>
      <c r="K17" s="433">
        <v>29333</v>
      </c>
      <c r="L17" s="440">
        <v>29214</v>
      </c>
      <c r="M17" s="39"/>
      <c r="N17" s="161">
        <v>57320</v>
      </c>
      <c r="O17" s="266">
        <f t="shared" si="0"/>
        <v>1227</v>
      </c>
      <c r="P17" s="267">
        <f t="shared" si="1"/>
        <v>2.1406140963014653</v>
      </c>
      <c r="Q17" s="49">
        <v>41.2</v>
      </c>
      <c r="R17" s="901">
        <f t="shared" si="2"/>
        <v>40.840114790668864</v>
      </c>
      <c r="S17" s="901"/>
      <c r="T17" s="273">
        <f t="shared" si="3"/>
        <v>-0.35988520933113932</v>
      </c>
      <c r="U17" s="468">
        <v>1229.3</v>
      </c>
      <c r="V17" s="277">
        <v>1255.8</v>
      </c>
      <c r="W17" s="945"/>
      <c r="X17" s="898"/>
    </row>
    <row r="18" spans="1:24" ht="15" customHeight="1" x14ac:dyDescent="0.15">
      <c r="A18" s="156"/>
      <c r="B18" s="898" t="s">
        <v>222</v>
      </c>
      <c r="C18" s="898"/>
      <c r="D18" s="94"/>
      <c r="E18" s="910">
        <v>49.72</v>
      </c>
      <c r="F18" s="910"/>
      <c r="G18" s="908">
        <v>53325</v>
      </c>
      <c r="H18" s="908"/>
      <c r="I18" s="908">
        <v>139279</v>
      </c>
      <c r="J18" s="908"/>
      <c r="K18" s="433">
        <v>67522</v>
      </c>
      <c r="L18" s="440">
        <v>71757</v>
      </c>
      <c r="M18" s="39"/>
      <c r="N18" s="161">
        <v>130249</v>
      </c>
      <c r="O18" s="266">
        <f t="shared" si="0"/>
        <v>9030</v>
      </c>
      <c r="P18" s="267">
        <f t="shared" si="1"/>
        <v>6.932874724566024</v>
      </c>
      <c r="Q18" s="49">
        <v>93.5</v>
      </c>
      <c r="R18" s="901">
        <f>(I18/$I$9)*1000</f>
        <v>97.155624505603512</v>
      </c>
      <c r="S18" s="901"/>
      <c r="T18" s="273">
        <f t="shared" si="3"/>
        <v>3.6556245056035124</v>
      </c>
      <c r="U18" s="468">
        <v>2658.1</v>
      </c>
      <c r="V18" s="277">
        <v>2801.3</v>
      </c>
      <c r="W18" s="945"/>
      <c r="X18" s="898"/>
    </row>
    <row r="19" spans="1:24" ht="15" customHeight="1" x14ac:dyDescent="0.15">
      <c r="A19" s="156"/>
      <c r="B19" s="898" t="s">
        <v>224</v>
      </c>
      <c r="C19" s="898"/>
      <c r="D19" s="94"/>
      <c r="E19" s="910">
        <v>19.600000000000001</v>
      </c>
      <c r="F19" s="910"/>
      <c r="G19" s="908">
        <v>21780</v>
      </c>
      <c r="H19" s="908"/>
      <c r="I19" s="908">
        <v>61119</v>
      </c>
      <c r="J19" s="908"/>
      <c r="K19" s="433">
        <v>29761</v>
      </c>
      <c r="L19" s="440">
        <v>31358</v>
      </c>
      <c r="M19" s="39"/>
      <c r="N19" s="161">
        <v>57261</v>
      </c>
      <c r="O19" s="266">
        <f>I19-N19</f>
        <v>3858</v>
      </c>
      <c r="P19" s="267">
        <f t="shared" si="1"/>
        <v>6.737570073872269</v>
      </c>
      <c r="Q19" s="49">
        <v>41.1</v>
      </c>
      <c r="R19" s="901">
        <f t="shared" si="2"/>
        <v>42.634242162551288</v>
      </c>
      <c r="S19" s="901"/>
      <c r="T19" s="273">
        <f t="shared" si="3"/>
        <v>1.534242162551287</v>
      </c>
      <c r="U19" s="468">
        <v>2944</v>
      </c>
      <c r="V19" s="277">
        <v>3118.3</v>
      </c>
      <c r="W19" s="945"/>
      <c r="X19" s="898"/>
    </row>
    <row r="20" spans="1:24" ht="15" customHeight="1" x14ac:dyDescent="0.15">
      <c r="A20" s="156"/>
      <c r="B20" s="898" t="s">
        <v>480</v>
      </c>
      <c r="C20" s="898"/>
      <c r="D20" s="94"/>
      <c r="E20" s="930">
        <v>49.94</v>
      </c>
      <c r="F20" s="931"/>
      <c r="G20" s="919">
        <v>14295</v>
      </c>
      <c r="H20" s="919"/>
      <c r="I20" s="908">
        <v>42016</v>
      </c>
      <c r="J20" s="908"/>
      <c r="K20" s="433">
        <v>21194</v>
      </c>
      <c r="L20" s="440">
        <v>20822</v>
      </c>
      <c r="M20" s="39"/>
      <c r="N20" s="280">
        <v>39758</v>
      </c>
      <c r="O20" s="266">
        <f>I20-N20</f>
        <v>2258</v>
      </c>
      <c r="P20" s="267">
        <f t="shared" si="1"/>
        <v>5.6793601287791136</v>
      </c>
      <c r="Q20" s="466">
        <v>28.5</v>
      </c>
      <c r="R20" s="901">
        <f t="shared" si="2"/>
        <v>29.308730815323468</v>
      </c>
      <c r="S20" s="901"/>
      <c r="T20" s="273">
        <f>R20-Q20</f>
        <v>0.80873081532346802</v>
      </c>
      <c r="U20" s="458">
        <v>798.8</v>
      </c>
      <c r="V20" s="423">
        <v>841.3</v>
      </c>
      <c r="W20" s="945"/>
      <c r="X20" s="898"/>
    </row>
    <row r="21" spans="1:24" ht="15" customHeight="1" x14ac:dyDescent="0.15">
      <c r="A21" s="156"/>
      <c r="B21" s="898" t="s">
        <v>204</v>
      </c>
      <c r="C21" s="898"/>
      <c r="D21" s="94"/>
      <c r="E21" s="910">
        <v>15.9</v>
      </c>
      <c r="F21" s="910"/>
      <c r="G21" s="908">
        <v>12641</v>
      </c>
      <c r="H21" s="908"/>
      <c r="I21" s="908">
        <v>34508</v>
      </c>
      <c r="J21" s="908"/>
      <c r="K21" s="433">
        <v>17280</v>
      </c>
      <c r="L21" s="440">
        <v>17228</v>
      </c>
      <c r="M21" s="39"/>
      <c r="N21" s="161">
        <v>34766</v>
      </c>
      <c r="O21" s="266">
        <f t="shared" si="0"/>
        <v>-258</v>
      </c>
      <c r="P21" s="269">
        <f>O21/N21*100</f>
        <v>-0.74210435482943105</v>
      </c>
      <c r="Q21" s="49">
        <v>25</v>
      </c>
      <c r="R21" s="901">
        <f t="shared" si="2"/>
        <v>24.071441426484725</v>
      </c>
      <c r="S21" s="901"/>
      <c r="T21" s="273">
        <f t="shared" si="3"/>
        <v>-0.92855857351527504</v>
      </c>
      <c r="U21" s="468">
        <v>2194.8000000000002</v>
      </c>
      <c r="V21" s="277">
        <v>2170.3000000000002</v>
      </c>
      <c r="W21" s="945"/>
      <c r="X21" s="898"/>
    </row>
    <row r="22" spans="1:24" ht="15" customHeight="1" x14ac:dyDescent="0.15">
      <c r="A22" s="156"/>
      <c r="B22" s="898" t="s">
        <v>479</v>
      </c>
      <c r="C22" s="898"/>
      <c r="D22" s="94"/>
      <c r="E22" s="910">
        <v>5.18</v>
      </c>
      <c r="F22" s="910"/>
      <c r="G22" s="908">
        <v>7003</v>
      </c>
      <c r="H22" s="908"/>
      <c r="I22" s="908">
        <v>18410</v>
      </c>
      <c r="J22" s="908"/>
      <c r="K22" s="433">
        <v>8832</v>
      </c>
      <c r="L22" s="440">
        <v>9578</v>
      </c>
      <c r="M22" s="39"/>
      <c r="N22" s="161">
        <v>16318</v>
      </c>
      <c r="O22" s="266">
        <f t="shared" si="0"/>
        <v>2092</v>
      </c>
      <c r="P22" s="267">
        <f t="shared" si="1"/>
        <v>12.82019855374433</v>
      </c>
      <c r="Q22" s="49">
        <v>11.7</v>
      </c>
      <c r="R22" s="901">
        <f t="shared" si="2"/>
        <v>12.842101444928241</v>
      </c>
      <c r="S22" s="901"/>
      <c r="T22" s="273">
        <f t="shared" si="3"/>
        <v>1.1421014449282421</v>
      </c>
      <c r="U22" s="468">
        <v>3212.2</v>
      </c>
      <c r="V22" s="277">
        <v>3554.1</v>
      </c>
      <c r="W22" s="945"/>
      <c r="X22" s="898"/>
    </row>
    <row r="23" spans="1:24" ht="15" customHeight="1" thickBot="1" x14ac:dyDescent="0.2">
      <c r="A23" s="158"/>
      <c r="B23" s="902" t="s">
        <v>209</v>
      </c>
      <c r="C23" s="902"/>
      <c r="D23" s="438"/>
      <c r="E23" s="924">
        <v>10.76</v>
      </c>
      <c r="F23" s="924"/>
      <c r="G23" s="911">
        <v>12763</v>
      </c>
      <c r="H23" s="911"/>
      <c r="I23" s="911">
        <v>37502</v>
      </c>
      <c r="J23" s="911"/>
      <c r="K23" s="434">
        <v>18429</v>
      </c>
      <c r="L23" s="442">
        <v>19073</v>
      </c>
      <c r="M23" s="39"/>
      <c r="N23" s="163">
        <v>35244</v>
      </c>
      <c r="O23" s="271">
        <f t="shared" si="0"/>
        <v>2258</v>
      </c>
      <c r="P23" s="269">
        <f t="shared" si="1"/>
        <v>6.4067642719328122</v>
      </c>
      <c r="Q23" s="164">
        <v>25.3</v>
      </c>
      <c r="R23" s="901">
        <f t="shared" si="2"/>
        <v>26.159939619103689</v>
      </c>
      <c r="S23" s="901"/>
      <c r="T23" s="275">
        <f>R23-Q23</f>
        <v>0.8599396191036881</v>
      </c>
      <c r="U23" s="470">
        <v>3287.7</v>
      </c>
      <c r="V23" s="279">
        <v>3485.3</v>
      </c>
      <c r="W23" s="945"/>
      <c r="X23" s="898"/>
    </row>
    <row r="24" spans="1:24" ht="15" customHeight="1" x14ac:dyDescent="0.15">
      <c r="B24" s="920" t="s">
        <v>595</v>
      </c>
      <c r="C24" s="920"/>
      <c r="D24" s="920"/>
      <c r="E24" s="920"/>
      <c r="F24" s="920"/>
      <c r="G24" s="920"/>
      <c r="H24" s="920"/>
      <c r="I24" s="920"/>
      <c r="J24" s="920"/>
      <c r="K24" s="920"/>
      <c r="L24" s="46"/>
      <c r="M24" s="39"/>
      <c r="N24" s="45"/>
      <c r="O24" s="45"/>
      <c r="P24" s="261"/>
      <c r="Q24" s="45"/>
      <c r="R24" s="909"/>
      <c r="S24" s="909"/>
      <c r="T24" s="45"/>
      <c r="U24" s="7"/>
      <c r="V24" s="7" t="s">
        <v>613</v>
      </c>
      <c r="W24" s="7"/>
    </row>
    <row r="25" spans="1:24" ht="15" customHeight="1" x14ac:dyDescent="0.15">
      <c r="B25" s="5" t="s">
        <v>667</v>
      </c>
      <c r="C25" s="5"/>
      <c r="D25" s="5"/>
      <c r="E25" s="5"/>
      <c r="F25" s="5"/>
      <c r="G25" s="5"/>
      <c r="H25" s="5"/>
      <c r="I25" s="5"/>
      <c r="J25" s="5"/>
      <c r="K25" s="45"/>
      <c r="L25" s="46"/>
      <c r="M25" s="5"/>
      <c r="N25" s="45"/>
      <c r="O25" s="45"/>
      <c r="P25" s="45"/>
      <c r="Q25" s="45"/>
      <c r="R25" s="45"/>
      <c r="S25" s="45"/>
      <c r="T25" s="45"/>
      <c r="U25" s="45"/>
      <c r="V25" s="45"/>
      <c r="W25" s="7"/>
    </row>
    <row r="26" spans="1:24" ht="15" customHeight="1" x14ac:dyDescent="0.15">
      <c r="B26" s="918" t="s">
        <v>668</v>
      </c>
      <c r="C26" s="918"/>
      <c r="D26" s="918"/>
      <c r="E26" s="918"/>
      <c r="F26" s="918"/>
      <c r="G26" s="918"/>
      <c r="H26" s="918"/>
      <c r="I26" s="918"/>
      <c r="J26" s="918"/>
      <c r="K26" s="5"/>
      <c r="L26" s="46"/>
      <c r="M26" s="5"/>
      <c r="N26" s="45"/>
      <c r="O26" s="45"/>
      <c r="P26" s="45"/>
      <c r="Q26" s="45"/>
      <c r="R26" s="45"/>
      <c r="S26" s="45"/>
      <c r="T26" s="45"/>
      <c r="U26" s="45"/>
      <c r="V26" s="45"/>
      <c r="W26" s="45"/>
    </row>
    <row r="27" spans="1:24" ht="11.25" customHeight="1" x14ac:dyDescent="0.15">
      <c r="B27" s="918"/>
      <c r="C27" s="918"/>
      <c r="D27" s="918"/>
      <c r="E27" s="918"/>
      <c r="F27" s="918"/>
      <c r="G27" s="918"/>
      <c r="H27" s="918"/>
      <c r="I27" s="918"/>
      <c r="J27" s="918"/>
      <c r="K27" s="918"/>
      <c r="L27" s="46"/>
      <c r="M27" s="5"/>
      <c r="N27" s="45"/>
      <c r="O27" s="45"/>
      <c r="P27" s="45"/>
      <c r="Q27" s="45"/>
      <c r="R27" s="45"/>
      <c r="S27" s="45"/>
      <c r="T27" s="45"/>
      <c r="U27" s="45"/>
      <c r="V27" s="45"/>
      <c r="W27" s="45"/>
    </row>
    <row r="28" spans="1:24" ht="15" customHeight="1" thickBot="1" x14ac:dyDescent="0.2">
      <c r="B28" s="5" t="s">
        <v>261</v>
      </c>
      <c r="C28" s="5"/>
      <c r="D28" s="5"/>
      <c r="E28" s="45"/>
      <c r="F28" s="45"/>
      <c r="G28" s="45"/>
      <c r="H28" s="45"/>
      <c r="I28" s="45"/>
      <c r="J28" s="45"/>
      <c r="K28" s="45"/>
      <c r="L28" s="46"/>
      <c r="M28" s="5"/>
      <c r="N28" s="5" t="s">
        <v>262</v>
      </c>
      <c r="O28" s="45"/>
      <c r="P28" s="45"/>
      <c r="Q28" s="45"/>
      <c r="R28" s="45"/>
      <c r="S28" s="45"/>
      <c r="T28" s="45"/>
      <c r="U28" s="45"/>
      <c r="V28" s="45"/>
      <c r="W28" s="45"/>
    </row>
    <row r="29" spans="1:24" ht="15" customHeight="1" x14ac:dyDescent="0.15">
      <c r="A29" s="912" t="s">
        <v>250</v>
      </c>
      <c r="B29" s="913"/>
      <c r="C29" s="913"/>
      <c r="D29" s="913"/>
      <c r="E29" s="913" t="s">
        <v>263</v>
      </c>
      <c r="F29" s="913"/>
      <c r="G29" s="913"/>
      <c r="H29" s="929"/>
      <c r="I29" s="921" t="s">
        <v>264</v>
      </c>
      <c r="J29" s="922"/>
      <c r="K29" s="922"/>
      <c r="L29" s="923"/>
      <c r="M29" s="420"/>
      <c r="N29" s="916" t="s">
        <v>201</v>
      </c>
      <c r="O29" s="894" t="s">
        <v>265</v>
      </c>
      <c r="P29" s="895"/>
      <c r="Q29" s="895"/>
      <c r="R29" s="895"/>
      <c r="S29" s="896"/>
      <c r="T29" s="905" t="s">
        <v>593</v>
      </c>
      <c r="U29" s="895"/>
      <c r="V29" s="895"/>
      <c r="W29" s="906"/>
      <c r="X29" s="420"/>
    </row>
    <row r="30" spans="1:24" ht="15" customHeight="1" x14ac:dyDescent="0.15">
      <c r="A30" s="914"/>
      <c r="B30" s="915"/>
      <c r="C30" s="915"/>
      <c r="D30" s="915"/>
      <c r="E30" s="10" t="s">
        <v>182</v>
      </c>
      <c r="F30" s="10" t="s">
        <v>185</v>
      </c>
      <c r="G30" s="10" t="s">
        <v>188</v>
      </c>
      <c r="H30" s="447" t="s">
        <v>266</v>
      </c>
      <c r="I30" s="427" t="s">
        <v>182</v>
      </c>
      <c r="J30" s="446" t="s">
        <v>185</v>
      </c>
      <c r="K30" s="446" t="s">
        <v>188</v>
      </c>
      <c r="L30" s="155" t="s">
        <v>266</v>
      </c>
      <c r="M30" s="420"/>
      <c r="N30" s="917"/>
      <c r="O30" s="419" t="s">
        <v>182</v>
      </c>
      <c r="P30" s="419" t="s">
        <v>185</v>
      </c>
      <c r="Q30" s="419" t="s">
        <v>188</v>
      </c>
      <c r="R30" s="892" t="s">
        <v>266</v>
      </c>
      <c r="S30" s="893"/>
      <c r="T30" s="445" t="s">
        <v>182</v>
      </c>
      <c r="U30" s="445" t="s">
        <v>185</v>
      </c>
      <c r="V30" s="445" t="s">
        <v>188</v>
      </c>
      <c r="W30" s="449" t="s">
        <v>266</v>
      </c>
      <c r="X30" s="444"/>
    </row>
    <row r="31" spans="1:24" ht="15" customHeight="1" x14ac:dyDescent="0.15">
      <c r="A31" s="156"/>
      <c r="B31" s="926" t="s">
        <v>246</v>
      </c>
      <c r="C31" s="926"/>
      <c r="D31" s="453"/>
      <c r="E31" s="54">
        <f t="shared" ref="E31:E47" si="4">F31+G31</f>
        <v>44780</v>
      </c>
      <c r="F31" s="55">
        <v>46455</v>
      </c>
      <c r="G31" s="56">
        <v>-1675</v>
      </c>
      <c r="H31" s="168" t="s">
        <v>267</v>
      </c>
      <c r="I31" s="55">
        <f t="shared" ref="I31:I47" si="5">+J31+K31</f>
        <v>43374</v>
      </c>
      <c r="J31" s="55">
        <v>41051</v>
      </c>
      <c r="K31" s="56">
        <v>2323</v>
      </c>
      <c r="L31" s="550" t="s">
        <v>268</v>
      </c>
      <c r="M31" s="420"/>
      <c r="N31" s="426" t="s">
        <v>246</v>
      </c>
      <c r="O31" s="324">
        <v>31224</v>
      </c>
      <c r="P31" s="268">
        <v>35842</v>
      </c>
      <c r="Q31" s="283">
        <f>+O31-P31</f>
        <v>-4618</v>
      </c>
      <c r="R31" s="897" t="s">
        <v>5</v>
      </c>
      <c r="S31" s="897"/>
      <c r="T31" s="324">
        <f t="shared" ref="T31:T45" si="6">I9-N9</f>
        <v>40748</v>
      </c>
      <c r="U31" s="268">
        <v>30326</v>
      </c>
      <c r="V31" s="283">
        <f>+T31-U31</f>
        <v>10422</v>
      </c>
      <c r="W31" s="450" t="s">
        <v>7</v>
      </c>
      <c r="X31" s="443"/>
    </row>
    <row r="32" spans="1:24" ht="15" customHeight="1" x14ac:dyDescent="0.15">
      <c r="A32" s="156"/>
      <c r="B32" s="898" t="s">
        <v>206</v>
      </c>
      <c r="C32" s="898"/>
      <c r="D32" s="454"/>
      <c r="E32" s="50">
        <f t="shared" si="4"/>
        <v>-858</v>
      </c>
      <c r="F32" s="56">
        <v>8797</v>
      </c>
      <c r="G32" s="56">
        <v>-9655</v>
      </c>
      <c r="H32" s="168" t="s">
        <v>456</v>
      </c>
      <c r="I32" s="56">
        <f t="shared" si="5"/>
        <v>11361</v>
      </c>
      <c r="J32" s="56">
        <v>7680</v>
      </c>
      <c r="K32" s="56">
        <v>3681</v>
      </c>
      <c r="L32" s="551" t="s">
        <v>268</v>
      </c>
      <c r="M32" s="420"/>
      <c r="N32" s="424" t="s">
        <v>206</v>
      </c>
      <c r="O32" s="268">
        <v>3561</v>
      </c>
      <c r="P32" s="268">
        <v>6363</v>
      </c>
      <c r="Q32" s="283">
        <f>+O32-P32</f>
        <v>-2802</v>
      </c>
      <c r="R32" s="825" t="s">
        <v>589</v>
      </c>
      <c r="S32" s="825"/>
      <c r="T32" s="268">
        <f t="shared" si="6"/>
        <v>3481</v>
      </c>
      <c r="U32" s="268">
        <v>4803</v>
      </c>
      <c r="V32" s="283">
        <f>+T32-U32</f>
        <v>-1322</v>
      </c>
      <c r="W32" s="451" t="s">
        <v>589</v>
      </c>
      <c r="X32" s="443"/>
    </row>
    <row r="33" spans="1:24" ht="15" customHeight="1" x14ac:dyDescent="0.15">
      <c r="A33" s="156"/>
      <c r="B33" s="898" t="s">
        <v>596</v>
      </c>
      <c r="C33" s="898"/>
      <c r="D33" s="454"/>
      <c r="E33" s="281" t="s">
        <v>463</v>
      </c>
      <c r="F33" s="281" t="s">
        <v>463</v>
      </c>
      <c r="G33" s="281" t="s">
        <v>463</v>
      </c>
      <c r="H33" s="281" t="s">
        <v>463</v>
      </c>
      <c r="I33" s="56">
        <f t="shared" si="5"/>
        <v>3543</v>
      </c>
      <c r="J33" s="56">
        <v>3229</v>
      </c>
      <c r="K33" s="56">
        <v>314</v>
      </c>
      <c r="L33" s="551" t="s">
        <v>268</v>
      </c>
      <c r="M33" s="420"/>
      <c r="N33" s="424" t="s">
        <v>208</v>
      </c>
      <c r="O33" s="268">
        <v>3444</v>
      </c>
      <c r="P33" s="268">
        <v>2563</v>
      </c>
      <c r="Q33" s="268">
        <f>+O33-P33</f>
        <v>881</v>
      </c>
      <c r="R33" s="825" t="s">
        <v>7</v>
      </c>
      <c r="S33" s="825"/>
      <c r="T33" s="268">
        <f t="shared" si="6"/>
        <v>1919</v>
      </c>
      <c r="U33" s="268">
        <v>1926</v>
      </c>
      <c r="V33" s="268">
        <f>+T33-U33</f>
        <v>-7</v>
      </c>
      <c r="W33" s="451" t="s">
        <v>608</v>
      </c>
      <c r="X33" s="443"/>
    </row>
    <row r="34" spans="1:24" ht="15" customHeight="1" x14ac:dyDescent="0.15">
      <c r="A34" s="156"/>
      <c r="B34" s="898" t="s">
        <v>605</v>
      </c>
      <c r="C34" s="898"/>
      <c r="D34" s="454"/>
      <c r="E34" s="50">
        <f t="shared" si="4"/>
        <v>184</v>
      </c>
      <c r="F34" s="56">
        <v>748</v>
      </c>
      <c r="G34" s="56">
        <v>-564</v>
      </c>
      <c r="H34" s="168" t="s">
        <v>267</v>
      </c>
      <c r="I34" s="281" t="s">
        <v>463</v>
      </c>
      <c r="J34" s="281" t="s">
        <v>463</v>
      </c>
      <c r="K34" s="281" t="s">
        <v>463</v>
      </c>
      <c r="L34" s="552" t="s">
        <v>463</v>
      </c>
      <c r="M34" s="420"/>
      <c r="N34" s="424" t="s">
        <v>212</v>
      </c>
      <c r="O34" s="268">
        <v>2159</v>
      </c>
      <c r="P34" s="283">
        <v>3924</v>
      </c>
      <c r="Q34" s="283">
        <f t="shared" ref="Q34:Q45" si="7">+O34-P34</f>
        <v>-1765</v>
      </c>
      <c r="R34" s="825" t="s">
        <v>589</v>
      </c>
      <c r="S34" s="825"/>
      <c r="T34" s="268">
        <f t="shared" si="6"/>
        <v>4315</v>
      </c>
      <c r="U34" s="283">
        <v>3535</v>
      </c>
      <c r="V34" s="283">
        <f t="shared" ref="V34:V45" si="8">+T34-U34</f>
        <v>780</v>
      </c>
      <c r="W34" s="451" t="s">
        <v>609</v>
      </c>
      <c r="X34" s="443"/>
    </row>
    <row r="35" spans="1:24" ht="15" customHeight="1" x14ac:dyDescent="0.15">
      <c r="A35" s="156"/>
      <c r="B35" s="925" t="s">
        <v>606</v>
      </c>
      <c r="C35" s="925"/>
      <c r="D35" s="454"/>
      <c r="E35" s="50">
        <f t="shared" si="4"/>
        <v>3892</v>
      </c>
      <c r="F35" s="56">
        <v>2369</v>
      </c>
      <c r="G35" s="56">
        <v>1523</v>
      </c>
      <c r="H35" s="168" t="s">
        <v>268</v>
      </c>
      <c r="I35" s="281" t="s">
        <v>463</v>
      </c>
      <c r="J35" s="281" t="s">
        <v>463</v>
      </c>
      <c r="K35" s="281" t="s">
        <v>463</v>
      </c>
      <c r="L35" s="552" t="s">
        <v>463</v>
      </c>
      <c r="M35" s="420"/>
      <c r="N35" s="424" t="s">
        <v>210</v>
      </c>
      <c r="O35" s="268">
        <v>-1454</v>
      </c>
      <c r="P35" s="283">
        <v>117</v>
      </c>
      <c r="Q35" s="283">
        <f t="shared" si="7"/>
        <v>-1571</v>
      </c>
      <c r="R35" s="825" t="s">
        <v>590</v>
      </c>
      <c r="S35" s="825"/>
      <c r="T35" s="268">
        <f t="shared" si="6"/>
        <v>-853</v>
      </c>
      <c r="U35" s="283">
        <v>-106</v>
      </c>
      <c r="V35" s="283">
        <f t="shared" si="8"/>
        <v>-747</v>
      </c>
      <c r="W35" s="461" t="s">
        <v>610</v>
      </c>
      <c r="X35" s="443"/>
    </row>
    <row r="36" spans="1:24" ht="15" customHeight="1" x14ac:dyDescent="0.15">
      <c r="A36" s="156"/>
      <c r="B36" s="898" t="s">
        <v>212</v>
      </c>
      <c r="C36" s="898"/>
      <c r="D36" s="454"/>
      <c r="E36" s="50">
        <f t="shared" si="4"/>
        <v>3882</v>
      </c>
      <c r="F36" s="56">
        <v>4710</v>
      </c>
      <c r="G36" s="56">
        <v>-828</v>
      </c>
      <c r="H36" s="168" t="s">
        <v>267</v>
      </c>
      <c r="I36" s="56">
        <f t="shared" si="5"/>
        <v>3025</v>
      </c>
      <c r="J36" s="56">
        <v>4112</v>
      </c>
      <c r="K36" s="56">
        <v>-1087</v>
      </c>
      <c r="L36" s="551" t="s">
        <v>267</v>
      </c>
      <c r="M36" s="420"/>
      <c r="N36" s="424" t="s">
        <v>216</v>
      </c>
      <c r="O36" s="268">
        <v>1739</v>
      </c>
      <c r="P36" s="283">
        <v>1506</v>
      </c>
      <c r="Q36" s="283">
        <f t="shared" si="7"/>
        <v>233</v>
      </c>
      <c r="R36" s="825" t="s">
        <v>591</v>
      </c>
      <c r="S36" s="825"/>
      <c r="T36" s="268">
        <f t="shared" si="6"/>
        <v>642</v>
      </c>
      <c r="U36" s="283">
        <v>1014</v>
      </c>
      <c r="V36" s="283">
        <f t="shared" si="8"/>
        <v>-372</v>
      </c>
      <c r="W36" s="451" t="s">
        <v>587</v>
      </c>
      <c r="X36" s="443"/>
    </row>
    <row r="37" spans="1:24" ht="15" customHeight="1" x14ac:dyDescent="0.15">
      <c r="A37" s="156"/>
      <c r="B37" s="898" t="s">
        <v>597</v>
      </c>
      <c r="C37" s="898"/>
      <c r="D37" s="454"/>
      <c r="E37" s="281" t="s">
        <v>463</v>
      </c>
      <c r="F37" s="281" t="s">
        <v>463</v>
      </c>
      <c r="G37" s="281" t="s">
        <v>463</v>
      </c>
      <c r="H37" s="281" t="s">
        <v>463</v>
      </c>
      <c r="I37" s="56">
        <f t="shared" si="5"/>
        <v>-756</v>
      </c>
      <c r="J37" s="56">
        <v>434</v>
      </c>
      <c r="K37" s="56">
        <v>-1190</v>
      </c>
      <c r="L37" s="551" t="s">
        <v>6</v>
      </c>
      <c r="M37" s="37"/>
      <c r="N37" s="425" t="s">
        <v>260</v>
      </c>
      <c r="O37" s="459">
        <v>4302</v>
      </c>
      <c r="P37" s="284">
        <v>4781</v>
      </c>
      <c r="Q37" s="284">
        <f t="shared" si="7"/>
        <v>-479</v>
      </c>
      <c r="R37" s="907" t="s">
        <v>589</v>
      </c>
      <c r="S37" s="907"/>
      <c r="T37" s="459">
        <f t="shared" si="6"/>
        <v>3881</v>
      </c>
      <c r="U37" s="284">
        <v>4044</v>
      </c>
      <c r="V37" s="284">
        <f t="shared" si="8"/>
        <v>-163</v>
      </c>
      <c r="W37" s="460" t="s">
        <v>589</v>
      </c>
      <c r="X37" s="443"/>
    </row>
    <row r="38" spans="1:24" ht="15" customHeight="1" x14ac:dyDescent="0.15">
      <c r="A38" s="156"/>
      <c r="B38" s="898" t="s">
        <v>607</v>
      </c>
      <c r="C38" s="898"/>
      <c r="D38" s="454"/>
      <c r="E38" s="50">
        <f t="shared" si="4"/>
        <v>606</v>
      </c>
      <c r="F38" s="56">
        <v>959</v>
      </c>
      <c r="G38" s="56">
        <v>-353</v>
      </c>
      <c r="H38" s="168" t="s">
        <v>267</v>
      </c>
      <c r="I38" s="281" t="s">
        <v>463</v>
      </c>
      <c r="J38" s="281" t="s">
        <v>463</v>
      </c>
      <c r="K38" s="281" t="s">
        <v>463</v>
      </c>
      <c r="L38" s="552" t="s">
        <v>463</v>
      </c>
      <c r="M38" s="420"/>
      <c r="N38" s="424" t="s">
        <v>218</v>
      </c>
      <c r="O38" s="268">
        <v>768</v>
      </c>
      <c r="P38" s="283">
        <v>1685</v>
      </c>
      <c r="Q38" s="283">
        <f t="shared" si="7"/>
        <v>-917</v>
      </c>
      <c r="R38" s="825" t="s">
        <v>587</v>
      </c>
      <c r="S38" s="825"/>
      <c r="T38" s="268">
        <f t="shared" si="6"/>
        <v>1443</v>
      </c>
      <c r="U38" s="283">
        <v>1341</v>
      </c>
      <c r="V38" s="283">
        <f t="shared" si="8"/>
        <v>102</v>
      </c>
      <c r="W38" s="451" t="s">
        <v>7</v>
      </c>
      <c r="X38" s="443"/>
    </row>
    <row r="39" spans="1:24" ht="15" customHeight="1" x14ac:dyDescent="0.15">
      <c r="A39" s="156"/>
      <c r="B39" s="898" t="s">
        <v>216</v>
      </c>
      <c r="C39" s="898"/>
      <c r="D39" s="454"/>
      <c r="E39" s="50">
        <f t="shared" si="4"/>
        <v>1525</v>
      </c>
      <c r="F39" s="56">
        <v>1441</v>
      </c>
      <c r="G39" s="56">
        <v>84</v>
      </c>
      <c r="H39" s="168" t="s">
        <v>268</v>
      </c>
      <c r="I39" s="56">
        <f t="shared" si="5"/>
        <v>1881</v>
      </c>
      <c r="J39" s="56">
        <v>1254</v>
      </c>
      <c r="K39" s="56">
        <v>627</v>
      </c>
      <c r="L39" s="551" t="s">
        <v>268</v>
      </c>
      <c r="M39" s="420"/>
      <c r="N39" s="424" t="s">
        <v>220</v>
      </c>
      <c r="O39" s="268">
        <v>1504</v>
      </c>
      <c r="P39" s="283">
        <v>1457</v>
      </c>
      <c r="Q39" s="283">
        <f t="shared" si="7"/>
        <v>47</v>
      </c>
      <c r="R39" s="825" t="s">
        <v>591</v>
      </c>
      <c r="S39" s="825"/>
      <c r="T39" s="268">
        <f t="shared" si="6"/>
        <v>1227</v>
      </c>
      <c r="U39" s="283">
        <v>1405</v>
      </c>
      <c r="V39" s="283">
        <f t="shared" si="8"/>
        <v>-178</v>
      </c>
      <c r="W39" s="451" t="s">
        <v>587</v>
      </c>
      <c r="X39" s="443"/>
    </row>
    <row r="40" spans="1:24" ht="15" customHeight="1" x14ac:dyDescent="0.15">
      <c r="A40" s="156"/>
      <c r="B40" s="903" t="s">
        <v>260</v>
      </c>
      <c r="C40" s="903"/>
      <c r="D40" s="455"/>
      <c r="E40" s="58">
        <f t="shared" si="4"/>
        <v>6732</v>
      </c>
      <c r="F40" s="59">
        <v>6416</v>
      </c>
      <c r="G40" s="59">
        <v>316</v>
      </c>
      <c r="H40" s="169" t="s">
        <v>268</v>
      </c>
      <c r="I40" s="59">
        <f t="shared" si="5"/>
        <v>3315</v>
      </c>
      <c r="J40" s="59">
        <v>5585</v>
      </c>
      <c r="K40" s="59">
        <v>-2270</v>
      </c>
      <c r="L40" s="553" t="s">
        <v>267</v>
      </c>
      <c r="M40" s="420"/>
      <c r="N40" s="424" t="s">
        <v>222</v>
      </c>
      <c r="O40" s="268">
        <v>3849</v>
      </c>
      <c r="P40" s="283">
        <v>4852</v>
      </c>
      <c r="Q40" s="283">
        <f t="shared" si="7"/>
        <v>-1003</v>
      </c>
      <c r="R40" s="825" t="s">
        <v>587</v>
      </c>
      <c r="S40" s="825"/>
      <c r="T40" s="268">
        <f t="shared" si="6"/>
        <v>9030</v>
      </c>
      <c r="U40" s="283">
        <v>4043</v>
      </c>
      <c r="V40" s="283">
        <f t="shared" si="8"/>
        <v>4987</v>
      </c>
      <c r="W40" s="451" t="s">
        <v>588</v>
      </c>
      <c r="X40" s="443"/>
    </row>
    <row r="41" spans="1:24" ht="15" customHeight="1" x14ac:dyDescent="0.15">
      <c r="A41" s="156"/>
      <c r="B41" s="898" t="s">
        <v>218</v>
      </c>
      <c r="C41" s="898"/>
      <c r="D41" s="454"/>
      <c r="E41" s="50">
        <f t="shared" si="4"/>
        <v>2651</v>
      </c>
      <c r="F41" s="56">
        <v>1815</v>
      </c>
      <c r="G41" s="56">
        <v>836</v>
      </c>
      <c r="H41" s="168" t="s">
        <v>268</v>
      </c>
      <c r="I41" s="56">
        <f t="shared" si="5"/>
        <v>2857</v>
      </c>
      <c r="J41" s="56">
        <v>1688</v>
      </c>
      <c r="K41" s="56">
        <v>1169</v>
      </c>
      <c r="L41" s="551" t="s">
        <v>268</v>
      </c>
      <c r="M41" s="420"/>
      <c r="N41" s="424" t="s">
        <v>224</v>
      </c>
      <c r="O41" s="268">
        <v>4745</v>
      </c>
      <c r="P41" s="283">
        <v>2724</v>
      </c>
      <c r="Q41" s="283">
        <f t="shared" si="7"/>
        <v>2021</v>
      </c>
      <c r="R41" s="825" t="s">
        <v>7</v>
      </c>
      <c r="S41" s="825"/>
      <c r="T41" s="268">
        <f t="shared" si="6"/>
        <v>3858</v>
      </c>
      <c r="U41" s="283">
        <v>2827</v>
      </c>
      <c r="V41" s="283">
        <f t="shared" si="8"/>
        <v>1031</v>
      </c>
      <c r="W41" s="451" t="s">
        <v>7</v>
      </c>
      <c r="X41" s="443"/>
    </row>
    <row r="42" spans="1:24" ht="15" customHeight="1" x14ac:dyDescent="0.15">
      <c r="A42" s="156"/>
      <c r="B42" s="898" t="s">
        <v>220</v>
      </c>
      <c r="C42" s="898"/>
      <c r="D42" s="454"/>
      <c r="E42" s="50">
        <f t="shared" si="4"/>
        <v>1478</v>
      </c>
      <c r="F42" s="56">
        <v>2041</v>
      </c>
      <c r="G42" s="56">
        <v>-563</v>
      </c>
      <c r="H42" s="168" t="s">
        <v>267</v>
      </c>
      <c r="I42" s="56">
        <f t="shared" si="5"/>
        <v>842</v>
      </c>
      <c r="J42" s="56">
        <v>1584</v>
      </c>
      <c r="K42" s="56">
        <v>-742</v>
      </c>
      <c r="L42" s="551" t="s">
        <v>267</v>
      </c>
      <c r="M42" s="420"/>
      <c r="N42" s="448" t="s">
        <v>604</v>
      </c>
      <c r="O42" s="281" t="s">
        <v>463</v>
      </c>
      <c r="P42" s="281" t="s">
        <v>463</v>
      </c>
      <c r="Q42" s="281" t="s">
        <v>463</v>
      </c>
      <c r="R42" s="281"/>
      <c r="S42" s="281" t="s">
        <v>463</v>
      </c>
      <c r="T42" s="268">
        <f t="shared" si="6"/>
        <v>2258</v>
      </c>
      <c r="U42" s="283">
        <v>-10</v>
      </c>
      <c r="V42" s="283">
        <f>+T42-U42</f>
        <v>2268</v>
      </c>
      <c r="W42" s="451" t="s">
        <v>611</v>
      </c>
      <c r="X42" s="443"/>
    </row>
    <row r="43" spans="1:24" ht="15" customHeight="1" x14ac:dyDescent="0.15">
      <c r="A43" s="156"/>
      <c r="B43" s="898" t="s">
        <v>222</v>
      </c>
      <c r="C43" s="898"/>
      <c r="D43" s="454"/>
      <c r="E43" s="50">
        <f t="shared" si="4"/>
        <v>4350</v>
      </c>
      <c r="F43" s="56">
        <v>5722</v>
      </c>
      <c r="G43" s="56">
        <v>-1372</v>
      </c>
      <c r="H43" s="168" t="s">
        <v>267</v>
      </c>
      <c r="I43" s="56">
        <f t="shared" si="5"/>
        <v>6714</v>
      </c>
      <c r="J43" s="56">
        <v>5426</v>
      </c>
      <c r="K43" s="56">
        <v>1288</v>
      </c>
      <c r="L43" s="551" t="s">
        <v>268</v>
      </c>
      <c r="M43" s="420"/>
      <c r="N43" s="424" t="s">
        <v>204</v>
      </c>
      <c r="O43" s="268">
        <v>1033</v>
      </c>
      <c r="P43" s="283">
        <v>1131</v>
      </c>
      <c r="Q43" s="283">
        <f t="shared" si="7"/>
        <v>-98</v>
      </c>
      <c r="R43" s="825" t="s">
        <v>587</v>
      </c>
      <c r="S43" s="825"/>
      <c r="T43" s="268">
        <f t="shared" si="6"/>
        <v>-258</v>
      </c>
      <c r="U43" s="283">
        <v>898</v>
      </c>
      <c r="V43" s="283">
        <f t="shared" si="8"/>
        <v>-1156</v>
      </c>
      <c r="W43" s="451" t="s">
        <v>612</v>
      </c>
      <c r="X43" s="443"/>
    </row>
    <row r="44" spans="1:24" ht="15" customHeight="1" x14ac:dyDescent="0.15">
      <c r="A44" s="156"/>
      <c r="B44" s="898" t="s">
        <v>204</v>
      </c>
      <c r="C44" s="898"/>
      <c r="D44" s="454"/>
      <c r="E44" s="50">
        <f t="shared" si="4"/>
        <v>4261</v>
      </c>
      <c r="F44" s="56">
        <v>1449</v>
      </c>
      <c r="G44" s="56">
        <v>2812</v>
      </c>
      <c r="H44" s="168" t="s">
        <v>269</v>
      </c>
      <c r="I44" s="56">
        <f t="shared" si="5"/>
        <v>2318</v>
      </c>
      <c r="J44" s="56">
        <v>2541</v>
      </c>
      <c r="K44" s="56">
        <v>-223</v>
      </c>
      <c r="L44" s="551" t="s">
        <v>267</v>
      </c>
      <c r="M44" s="420"/>
      <c r="N44" s="424" t="s">
        <v>205</v>
      </c>
      <c r="O44" s="268">
        <v>975</v>
      </c>
      <c r="P44" s="283">
        <v>379</v>
      </c>
      <c r="Q44" s="283">
        <f t="shared" si="7"/>
        <v>596</v>
      </c>
      <c r="R44" s="825" t="s">
        <v>588</v>
      </c>
      <c r="S44" s="825"/>
      <c r="T44" s="268">
        <f t="shared" si="6"/>
        <v>2092</v>
      </c>
      <c r="U44" s="283">
        <v>677</v>
      </c>
      <c r="V44" s="283">
        <f t="shared" si="8"/>
        <v>1415</v>
      </c>
      <c r="W44" s="451" t="s">
        <v>588</v>
      </c>
      <c r="X44" s="443"/>
    </row>
    <row r="45" spans="1:24" ht="15" customHeight="1" thickBot="1" x14ac:dyDescent="0.2">
      <c r="A45" s="156"/>
      <c r="B45" s="898" t="s">
        <v>270</v>
      </c>
      <c r="C45" s="898"/>
      <c r="D45" s="454"/>
      <c r="E45" s="50">
        <f t="shared" si="4"/>
        <v>4945</v>
      </c>
      <c r="F45" s="56">
        <v>2659</v>
      </c>
      <c r="G45" s="56">
        <v>2286</v>
      </c>
      <c r="H45" s="168" t="s">
        <v>268</v>
      </c>
      <c r="I45" s="56">
        <f t="shared" si="5"/>
        <v>956</v>
      </c>
      <c r="J45" s="56">
        <v>1356</v>
      </c>
      <c r="K45" s="56">
        <v>-400</v>
      </c>
      <c r="L45" s="551" t="s">
        <v>267</v>
      </c>
      <c r="M45" s="420"/>
      <c r="N45" s="171" t="s">
        <v>209</v>
      </c>
      <c r="O45" s="325">
        <v>1707</v>
      </c>
      <c r="P45" s="285">
        <v>1577</v>
      </c>
      <c r="Q45" s="285">
        <f t="shared" si="7"/>
        <v>130</v>
      </c>
      <c r="R45" s="891" t="s">
        <v>592</v>
      </c>
      <c r="S45" s="891"/>
      <c r="T45" s="325">
        <f t="shared" si="6"/>
        <v>2258</v>
      </c>
      <c r="U45" s="285">
        <v>1657</v>
      </c>
      <c r="V45" s="285">
        <f t="shared" si="8"/>
        <v>601</v>
      </c>
      <c r="W45" s="452" t="s">
        <v>592</v>
      </c>
      <c r="X45" s="443"/>
    </row>
    <row r="46" spans="1:24" ht="15" customHeight="1" x14ac:dyDescent="0.15">
      <c r="A46" s="156"/>
      <c r="B46" s="898" t="s">
        <v>205</v>
      </c>
      <c r="C46" s="898"/>
      <c r="D46" s="454"/>
      <c r="E46" s="50">
        <f t="shared" si="4"/>
        <v>259</v>
      </c>
      <c r="F46" s="56">
        <v>518</v>
      </c>
      <c r="G46" s="56">
        <v>-259</v>
      </c>
      <c r="H46" s="168" t="s">
        <v>267</v>
      </c>
      <c r="I46" s="56">
        <f t="shared" si="5"/>
        <v>234</v>
      </c>
      <c r="J46" s="56">
        <v>415</v>
      </c>
      <c r="K46" s="56">
        <v>-181</v>
      </c>
      <c r="L46" s="551" t="s">
        <v>267</v>
      </c>
      <c r="M46" s="39"/>
      <c r="N46" s="56"/>
      <c r="O46" s="56"/>
      <c r="P46" s="56"/>
      <c r="Q46" s="418"/>
      <c r="R46" s="418"/>
      <c r="S46" s="418"/>
      <c r="T46" s="50"/>
      <c r="U46" s="50"/>
      <c r="V46" s="56"/>
      <c r="W46" s="7" t="s">
        <v>613</v>
      </c>
    </row>
    <row r="47" spans="1:24" ht="15" customHeight="1" thickBot="1" x14ac:dyDescent="0.2">
      <c r="A47" s="158"/>
      <c r="B47" s="902" t="s">
        <v>209</v>
      </c>
      <c r="C47" s="902"/>
      <c r="D47" s="456"/>
      <c r="E47" s="165">
        <f t="shared" si="4"/>
        <v>1850</v>
      </c>
      <c r="F47" s="166">
        <v>1628</v>
      </c>
      <c r="G47" s="166">
        <v>222</v>
      </c>
      <c r="H47" s="170" t="s">
        <v>268</v>
      </c>
      <c r="I47" s="166">
        <f t="shared" si="5"/>
        <v>1438</v>
      </c>
      <c r="J47" s="166">
        <v>1580</v>
      </c>
      <c r="K47" s="166">
        <v>-142</v>
      </c>
      <c r="L47" s="554" t="s">
        <v>267</v>
      </c>
      <c r="M47" s="5" t="s">
        <v>272</v>
      </c>
      <c r="N47" s="45"/>
      <c r="O47" s="45"/>
      <c r="P47" s="45"/>
      <c r="Q47" s="45"/>
      <c r="R47" s="45"/>
      <c r="S47" s="45"/>
      <c r="T47" s="45"/>
      <c r="U47" s="45"/>
      <c r="V47" s="45"/>
    </row>
    <row r="48" spans="1:24" ht="15" customHeight="1" x14ac:dyDescent="0.15">
      <c r="A48" s="39"/>
      <c r="B48" s="22" t="s">
        <v>271</v>
      </c>
      <c r="C48" s="36"/>
      <c r="D48" s="22"/>
      <c r="E48" s="50"/>
      <c r="F48" s="50"/>
      <c r="G48" s="50"/>
      <c r="H48" s="57"/>
      <c r="I48" s="50"/>
      <c r="J48" s="50"/>
      <c r="K48" s="50"/>
      <c r="L48" s="57"/>
      <c r="M48" s="5" t="s">
        <v>273</v>
      </c>
      <c r="N48" s="45"/>
      <c r="O48" s="45"/>
      <c r="P48" s="45"/>
      <c r="Q48" s="45"/>
      <c r="R48" s="45"/>
      <c r="S48" s="45"/>
      <c r="T48" s="45"/>
      <c r="U48" s="45"/>
      <c r="V48" s="45"/>
      <c r="W48" s="45"/>
    </row>
    <row r="49" spans="2:23" ht="15" customHeight="1" x14ac:dyDescent="0.15">
      <c r="B49" s="904" t="s">
        <v>603</v>
      </c>
      <c r="C49" s="5" t="s">
        <v>600</v>
      </c>
      <c r="D49" s="5"/>
      <c r="E49" s="45"/>
      <c r="F49" s="45"/>
      <c r="G49" s="45"/>
      <c r="H49" s="45"/>
      <c r="I49" s="45"/>
      <c r="J49" s="45"/>
      <c r="K49" s="45"/>
      <c r="L49" s="46"/>
      <c r="M49" s="60" t="s">
        <v>274</v>
      </c>
      <c r="N49" s="60"/>
      <c r="O49" s="60"/>
      <c r="P49" s="60"/>
      <c r="Q49" s="60"/>
      <c r="S49" s="900" t="s">
        <v>275</v>
      </c>
      <c r="T49" s="900"/>
      <c r="U49" s="900"/>
      <c r="V49" s="900"/>
    </row>
    <row r="50" spans="2:23" ht="15" customHeight="1" x14ac:dyDescent="0.15">
      <c r="B50" s="904"/>
      <c r="C50" s="5" t="s">
        <v>598</v>
      </c>
      <c r="D50" s="5"/>
      <c r="E50" s="45"/>
      <c r="F50" s="45"/>
      <c r="G50" s="45"/>
      <c r="H50" s="45"/>
      <c r="I50" s="45"/>
      <c r="J50" s="45"/>
      <c r="K50" s="45"/>
      <c r="L50" s="46"/>
      <c r="M50" s="60" t="s">
        <v>276</v>
      </c>
      <c r="N50" s="60"/>
      <c r="O50" s="60"/>
      <c r="P50" s="60"/>
      <c r="Q50" s="60"/>
      <c r="R50" s="45"/>
      <c r="S50" s="900" t="s">
        <v>277</v>
      </c>
      <c r="T50" s="900"/>
      <c r="U50" s="900"/>
      <c r="V50" s="900"/>
      <c r="W50" s="45"/>
    </row>
    <row r="51" spans="2:23" ht="15" customHeight="1" x14ac:dyDescent="0.15">
      <c r="B51" s="904"/>
      <c r="C51" s="5" t="s">
        <v>599</v>
      </c>
      <c r="D51" s="5"/>
      <c r="E51" s="45"/>
      <c r="F51" s="45"/>
      <c r="G51" s="45"/>
      <c r="H51" s="45"/>
      <c r="I51" s="45"/>
      <c r="J51" s="45"/>
      <c r="K51" s="45"/>
      <c r="L51" s="46"/>
      <c r="M51" s="60" t="s">
        <v>278</v>
      </c>
      <c r="N51" s="60"/>
      <c r="O51" s="60"/>
      <c r="P51" s="60"/>
      <c r="Q51" s="60"/>
      <c r="R51" s="420"/>
      <c r="S51" s="900" t="s">
        <v>279</v>
      </c>
      <c r="T51" s="900"/>
      <c r="U51" s="900"/>
      <c r="V51" s="900"/>
      <c r="W51" s="420"/>
    </row>
    <row r="52" spans="2:23" ht="15" customHeight="1" x14ac:dyDescent="0.15">
      <c r="B52" s="904"/>
      <c r="C52" s="5" t="s">
        <v>601</v>
      </c>
      <c r="D52" s="5"/>
      <c r="E52" s="45"/>
      <c r="F52" s="45"/>
      <c r="G52" s="45"/>
      <c r="H52" s="45"/>
      <c r="I52" s="45"/>
      <c r="J52" s="45"/>
      <c r="K52" s="45"/>
      <c r="L52" s="46"/>
      <c r="M52" s="899" t="s">
        <v>280</v>
      </c>
      <c r="N52" s="899"/>
      <c r="O52" s="899"/>
      <c r="P52" s="899"/>
      <c r="Q52" s="899"/>
      <c r="R52" s="420"/>
      <c r="S52" s="900" t="s">
        <v>281</v>
      </c>
      <c r="T52" s="900"/>
      <c r="U52" s="900"/>
      <c r="V52" s="900"/>
      <c r="W52" s="420"/>
    </row>
    <row r="53" spans="2:23" ht="15" customHeight="1" x14ac:dyDescent="0.15">
      <c r="B53" s="904"/>
      <c r="C53" s="5" t="s">
        <v>602</v>
      </c>
      <c r="D53" s="5"/>
      <c r="E53" s="45"/>
      <c r="F53" s="45"/>
      <c r="G53" s="45"/>
      <c r="H53" s="45"/>
      <c r="I53" s="45"/>
      <c r="J53" s="45"/>
      <c r="K53" s="45"/>
      <c r="L53" s="46"/>
    </row>
  </sheetData>
  <sheetProtection sheet="1" objects="1" scenarios="1"/>
  <mergeCells count="151">
    <mergeCell ref="W18:X18"/>
    <mergeCell ref="W19:X19"/>
    <mergeCell ref="W20:X20"/>
    <mergeCell ref="W21:X21"/>
    <mergeCell ref="W22:X22"/>
    <mergeCell ref="W23:X23"/>
    <mergeCell ref="W9:X9"/>
    <mergeCell ref="W10:X10"/>
    <mergeCell ref="W11:X11"/>
    <mergeCell ref="W12:X12"/>
    <mergeCell ref="W13:X13"/>
    <mergeCell ref="W14:X14"/>
    <mergeCell ref="W15:X15"/>
    <mergeCell ref="W16:X16"/>
    <mergeCell ref="W17:X1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I7:L7"/>
    <mergeCell ref="Q7:T7"/>
    <mergeCell ref="R10:S10"/>
    <mergeCell ref="I11:J11"/>
    <mergeCell ref="R11:S11"/>
    <mergeCell ref="G7:H8"/>
    <mergeCell ref="B11:C11"/>
    <mergeCell ref="E11:F11"/>
    <mergeCell ref="G11:H11"/>
    <mergeCell ref="I9:J9"/>
    <mergeCell ref="R14:S14"/>
    <mergeCell ref="R9:S9"/>
    <mergeCell ref="I14:J14"/>
    <mergeCell ref="E14:F14"/>
    <mergeCell ref="G14:H14"/>
    <mergeCell ref="G15:H15"/>
    <mergeCell ref="E29:H29"/>
    <mergeCell ref="I18:J18"/>
    <mergeCell ref="R17:S17"/>
    <mergeCell ref="I17:J17"/>
    <mergeCell ref="R12:S12"/>
    <mergeCell ref="E19:F19"/>
    <mergeCell ref="G19:H19"/>
    <mergeCell ref="E17:F17"/>
    <mergeCell ref="G12:H12"/>
    <mergeCell ref="E13:F13"/>
    <mergeCell ref="G13:H13"/>
    <mergeCell ref="I19:J19"/>
    <mergeCell ref="R19:S19"/>
    <mergeCell ref="E18:F18"/>
    <mergeCell ref="B26:J26"/>
    <mergeCell ref="R20:S20"/>
    <mergeCell ref="E20:F20"/>
    <mergeCell ref="I20:J20"/>
    <mergeCell ref="B20:C20"/>
    <mergeCell ref="G20:H20"/>
    <mergeCell ref="B24:K24"/>
    <mergeCell ref="I29:L29"/>
    <mergeCell ref="B21:C21"/>
    <mergeCell ref="E23:F23"/>
    <mergeCell ref="B36:C36"/>
    <mergeCell ref="B35:C35"/>
    <mergeCell ref="B31:C31"/>
    <mergeCell ref="B32:C32"/>
    <mergeCell ref="R21:S21"/>
    <mergeCell ref="I22:J22"/>
    <mergeCell ref="R24:S24"/>
    <mergeCell ref="E21:F21"/>
    <mergeCell ref="G21:H21"/>
    <mergeCell ref="I21:J21"/>
    <mergeCell ref="I23:J23"/>
    <mergeCell ref="A29:D30"/>
    <mergeCell ref="B34:C34"/>
    <mergeCell ref="N29:N30"/>
    <mergeCell ref="B23:C23"/>
    <mergeCell ref="E22:F22"/>
    <mergeCell ref="G22:H22"/>
    <mergeCell ref="G23:H23"/>
    <mergeCell ref="B22:C22"/>
    <mergeCell ref="R23:S23"/>
    <mergeCell ref="B33:C33"/>
    <mergeCell ref="B27:K27"/>
    <mergeCell ref="B41:C41"/>
    <mergeCell ref="M52:Q52"/>
    <mergeCell ref="S52:V52"/>
    <mergeCell ref="S49:V49"/>
    <mergeCell ref="S51:V51"/>
    <mergeCell ref="S50:V50"/>
    <mergeCell ref="R22:S22"/>
    <mergeCell ref="B38:C38"/>
    <mergeCell ref="B46:C46"/>
    <mergeCell ref="B39:C39"/>
    <mergeCell ref="B47:C47"/>
    <mergeCell ref="B40:C40"/>
    <mergeCell ref="B45:C45"/>
    <mergeCell ref="B44:C44"/>
    <mergeCell ref="B42:C42"/>
    <mergeCell ref="B43:C43"/>
    <mergeCell ref="B37:C37"/>
    <mergeCell ref="B49:B53"/>
    <mergeCell ref="T29:W29"/>
    <mergeCell ref="R37:S37"/>
    <mergeCell ref="R38:S38"/>
    <mergeCell ref="R39:S39"/>
    <mergeCell ref="R40:S40"/>
    <mergeCell ref="R41:S41"/>
    <mergeCell ref="R43:S43"/>
    <mergeCell ref="R44:S44"/>
    <mergeCell ref="R45:S45"/>
    <mergeCell ref="R30:S30"/>
    <mergeCell ref="O29:S29"/>
    <mergeCell ref="R31:S31"/>
    <mergeCell ref="R32:S32"/>
    <mergeCell ref="R33:S33"/>
    <mergeCell ref="R34:S34"/>
    <mergeCell ref="R35:S35"/>
    <mergeCell ref="R36:S36"/>
  </mergeCells>
  <phoneticPr fontId="18"/>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3"/>
  <sheetViews>
    <sheetView view="pageBreakPreview" zoomScale="85" zoomScaleNormal="100" zoomScaleSheetLayoutView="85" workbookViewId="0">
      <pane xSplit="4" topLeftCell="E1" activePane="topRight" state="frozen"/>
      <selection activeCell="K250" sqref="K250"/>
      <selection pane="topRight" activeCell="K250" sqref="K250"/>
    </sheetView>
  </sheetViews>
  <sheetFormatPr defaultRowHeight="15" customHeight="1" x14ac:dyDescent="0.15"/>
  <cols>
    <col min="1" max="1" width="1.25" style="687" customWidth="1"/>
    <col min="2" max="2" width="8.375" style="687" customWidth="1"/>
    <col min="3" max="3" width="5" style="687" customWidth="1"/>
    <col min="4" max="4" width="1.25" style="687" customWidth="1"/>
    <col min="5" max="11" width="9.5" style="687" customWidth="1"/>
    <col min="12" max="12" width="9.5" style="700" customWidth="1"/>
    <col min="13" max="13" width="0.875" style="687" customWidth="1"/>
    <col min="14" max="14" width="11.125" style="687" customWidth="1"/>
    <col min="15" max="15" width="9.5" style="687" customWidth="1"/>
    <col min="16" max="16" width="9.625" style="687" customWidth="1"/>
    <col min="17" max="17" width="9.5" style="687" customWidth="1"/>
    <col min="18" max="19" width="4.625" style="687" customWidth="1"/>
    <col min="20" max="22" width="9.875" style="687" customWidth="1"/>
    <col min="23" max="23" width="12.75" style="687" customWidth="1"/>
    <col min="24" max="24" width="15" style="687" customWidth="1"/>
    <col min="25" max="16384" width="9" style="687"/>
  </cols>
  <sheetData>
    <row r="1" spans="1:24" ht="4.5" customHeight="1" x14ac:dyDescent="0.15">
      <c r="A1" s="694"/>
      <c r="B1" s="695"/>
      <c r="C1" s="696"/>
      <c r="D1" s="696"/>
      <c r="E1" s="696"/>
      <c r="F1" s="696"/>
      <c r="G1" s="696"/>
      <c r="H1" s="696"/>
      <c r="I1" s="696"/>
      <c r="J1" s="696"/>
      <c r="K1" s="696"/>
      <c r="L1" s="696"/>
    </row>
    <row r="2" spans="1:24" ht="15" customHeight="1" x14ac:dyDescent="0.15">
      <c r="A2" s="694" t="s">
        <v>620</v>
      </c>
      <c r="B2" s="695"/>
      <c r="C2" s="696"/>
      <c r="D2" s="696"/>
      <c r="E2" s="696"/>
      <c r="F2" s="696"/>
      <c r="G2" s="696"/>
      <c r="H2" s="696"/>
      <c r="I2" s="696"/>
      <c r="J2" s="696"/>
      <c r="K2" s="696"/>
      <c r="L2" s="696"/>
    </row>
    <row r="3" spans="1:24" ht="4.5" customHeight="1" x14ac:dyDescent="0.15">
      <c r="A3" s="694"/>
      <c r="B3" s="695"/>
      <c r="C3" s="696"/>
      <c r="D3" s="696"/>
      <c r="E3" s="696"/>
      <c r="F3" s="696"/>
      <c r="G3" s="696"/>
      <c r="H3" s="696"/>
      <c r="I3" s="696"/>
      <c r="J3" s="696"/>
      <c r="K3" s="696"/>
      <c r="L3" s="696"/>
    </row>
    <row r="4" spans="1:24" s="697" customFormat="1" ht="86.25" customHeight="1" x14ac:dyDescent="0.15">
      <c r="A4" s="935" t="s">
        <v>621</v>
      </c>
      <c r="B4" s="935"/>
      <c r="C4" s="935"/>
      <c r="D4" s="935"/>
      <c r="E4" s="935"/>
      <c r="F4" s="935"/>
      <c r="G4" s="935"/>
      <c r="H4" s="935"/>
      <c r="I4" s="935"/>
      <c r="J4" s="935"/>
      <c r="K4" s="935"/>
      <c r="L4" s="935"/>
      <c r="N4" s="935" t="s">
        <v>664</v>
      </c>
      <c r="O4" s="935"/>
      <c r="P4" s="935"/>
      <c r="Q4" s="935"/>
      <c r="R4" s="935"/>
      <c r="S4" s="935"/>
      <c r="T4" s="935"/>
      <c r="U4" s="935"/>
      <c r="V4" s="935"/>
      <c r="W4" s="935"/>
    </row>
    <row r="5" spans="1:24" ht="10.5" customHeight="1" x14ac:dyDescent="0.15">
      <c r="A5" s="947"/>
      <c r="B5" s="947"/>
      <c r="C5" s="947"/>
      <c r="D5" s="947"/>
      <c r="E5" s="947"/>
      <c r="F5" s="947"/>
      <c r="G5" s="947"/>
      <c r="H5" s="947"/>
      <c r="I5" s="947"/>
      <c r="J5" s="947"/>
      <c r="K5" s="947"/>
      <c r="L5" s="947"/>
      <c r="M5" s="698"/>
      <c r="N5" s="948"/>
      <c r="O5" s="948"/>
      <c r="P5" s="948"/>
      <c r="Q5" s="948"/>
      <c r="R5" s="948"/>
      <c r="S5" s="948"/>
      <c r="T5" s="948"/>
      <c r="U5" s="948"/>
      <c r="V5" s="948"/>
      <c r="W5" s="948"/>
    </row>
    <row r="6" spans="1:24" ht="15" customHeight="1" thickBot="1" x14ac:dyDescent="0.2">
      <c r="B6" s="13" t="s">
        <v>614</v>
      </c>
      <c r="C6" s="13"/>
      <c r="D6" s="13"/>
      <c r="E6" s="685"/>
      <c r="F6" s="685"/>
      <c r="G6" s="685"/>
      <c r="I6" s="685"/>
      <c r="K6" s="685"/>
      <c r="L6" s="699"/>
      <c r="N6" s="13" t="s">
        <v>615</v>
      </c>
    </row>
    <row r="7" spans="1:24" ht="15" customHeight="1" x14ac:dyDescent="0.15">
      <c r="A7" s="826" t="s">
        <v>250</v>
      </c>
      <c r="B7" s="813"/>
      <c r="C7" s="813"/>
      <c r="D7" s="813"/>
      <c r="E7" s="813" t="s">
        <v>251</v>
      </c>
      <c r="F7" s="813"/>
      <c r="G7" s="813" t="s">
        <v>252</v>
      </c>
      <c r="H7" s="813"/>
      <c r="I7" s="813" t="s">
        <v>253</v>
      </c>
      <c r="J7" s="813"/>
      <c r="K7" s="813"/>
      <c r="L7" s="949"/>
      <c r="M7" s="700"/>
      <c r="N7" s="701" t="s">
        <v>254</v>
      </c>
      <c r="O7" s="941" t="s">
        <v>619</v>
      </c>
      <c r="P7" s="942"/>
      <c r="Q7" s="830" t="s">
        <v>255</v>
      </c>
      <c r="R7" s="841"/>
      <c r="S7" s="841"/>
      <c r="T7" s="842"/>
      <c r="U7" s="830" t="s">
        <v>256</v>
      </c>
      <c r="V7" s="940"/>
      <c r="W7" s="702"/>
    </row>
    <row r="8" spans="1:24" ht="15" customHeight="1" x14ac:dyDescent="0.15">
      <c r="A8" s="827"/>
      <c r="B8" s="814"/>
      <c r="C8" s="814"/>
      <c r="D8" s="814"/>
      <c r="E8" s="814"/>
      <c r="F8" s="814"/>
      <c r="G8" s="814"/>
      <c r="H8" s="814"/>
      <c r="I8" s="950" t="s">
        <v>20</v>
      </c>
      <c r="J8" s="950"/>
      <c r="K8" s="583" t="s">
        <v>21</v>
      </c>
      <c r="L8" s="703" t="s">
        <v>22</v>
      </c>
      <c r="M8" s="520"/>
      <c r="N8" s="704" t="s">
        <v>576</v>
      </c>
      <c r="O8" s="587" t="s">
        <v>257</v>
      </c>
      <c r="P8" s="587" t="s">
        <v>258</v>
      </c>
      <c r="Q8" s="587" t="s">
        <v>616</v>
      </c>
      <c r="R8" s="831" t="s">
        <v>617</v>
      </c>
      <c r="S8" s="938"/>
      <c r="T8" s="587" t="s">
        <v>259</v>
      </c>
      <c r="U8" s="583" t="s">
        <v>26</v>
      </c>
      <c r="V8" s="246" t="s">
        <v>618</v>
      </c>
    </row>
    <row r="9" spans="1:24" ht="15" customHeight="1" x14ac:dyDescent="0.15">
      <c r="A9" s="705"/>
      <c r="B9" s="838" t="s">
        <v>246</v>
      </c>
      <c r="C9" s="838"/>
      <c r="D9" s="525"/>
      <c r="E9" s="910">
        <v>2281.12</v>
      </c>
      <c r="F9" s="910"/>
      <c r="G9" s="934">
        <v>560424</v>
      </c>
      <c r="H9" s="934"/>
      <c r="I9" s="934">
        <v>1433566</v>
      </c>
      <c r="J9" s="934"/>
      <c r="K9" s="593">
        <v>704619</v>
      </c>
      <c r="L9" s="440">
        <v>728947</v>
      </c>
      <c r="M9" s="700"/>
      <c r="N9" s="706">
        <v>1392818</v>
      </c>
      <c r="O9" s="264">
        <f>I9-N9</f>
        <v>40748</v>
      </c>
      <c r="P9" s="265">
        <f>O9/N9*100</f>
        <v>2.9255796521871487</v>
      </c>
      <c r="Q9" s="598">
        <v>1000</v>
      </c>
      <c r="R9" s="927">
        <f>(I9/$I$9)*1000</f>
        <v>1000</v>
      </c>
      <c r="S9" s="927"/>
      <c r="T9" s="272">
        <v>0</v>
      </c>
      <c r="U9" s="467">
        <v>611.9</v>
      </c>
      <c r="V9" s="276">
        <v>628.4</v>
      </c>
      <c r="W9" s="951"/>
      <c r="X9" s="838"/>
    </row>
    <row r="10" spans="1:24" ht="15" customHeight="1" x14ac:dyDescent="0.15">
      <c r="A10" s="705"/>
      <c r="B10" s="838" t="s">
        <v>206</v>
      </c>
      <c r="C10" s="838"/>
      <c r="D10" s="525"/>
      <c r="E10" s="910">
        <v>39.57</v>
      </c>
      <c r="F10" s="910"/>
      <c r="G10" s="908">
        <v>135532</v>
      </c>
      <c r="H10" s="908"/>
      <c r="I10" s="908">
        <v>319435</v>
      </c>
      <c r="J10" s="908"/>
      <c r="K10" s="593">
        <v>154685</v>
      </c>
      <c r="L10" s="440">
        <v>164750</v>
      </c>
      <c r="M10" s="700"/>
      <c r="N10" s="707">
        <v>315954</v>
      </c>
      <c r="O10" s="266">
        <f t="shared" ref="O10:O23" si="0">I10-N10</f>
        <v>3481</v>
      </c>
      <c r="P10" s="267">
        <f t="shared" ref="P10:P23" si="1">O10/N10*100</f>
        <v>1.1017426587414625</v>
      </c>
      <c r="Q10" s="594">
        <v>226.8</v>
      </c>
      <c r="R10" s="901">
        <f>(I10/$I$9)*1000</f>
        <v>222.82545763501645</v>
      </c>
      <c r="S10" s="901"/>
      <c r="T10" s="273">
        <f>R10-Q10</f>
        <v>-3.9745423649835629</v>
      </c>
      <c r="U10" s="468">
        <v>8051.8</v>
      </c>
      <c r="V10" s="277">
        <v>8072.7</v>
      </c>
      <c r="W10" s="951"/>
      <c r="X10" s="838"/>
    </row>
    <row r="11" spans="1:24" ht="15" customHeight="1" x14ac:dyDescent="0.15">
      <c r="A11" s="705"/>
      <c r="B11" s="838" t="s">
        <v>208</v>
      </c>
      <c r="C11" s="838"/>
      <c r="D11" s="525"/>
      <c r="E11" s="910">
        <v>87.01</v>
      </c>
      <c r="F11" s="910"/>
      <c r="G11" s="908">
        <v>42378</v>
      </c>
      <c r="H11" s="908"/>
      <c r="I11" s="908">
        <v>118898</v>
      </c>
      <c r="J11" s="908"/>
      <c r="K11" s="593">
        <v>59409</v>
      </c>
      <c r="L11" s="440">
        <v>59489</v>
      </c>
      <c r="M11" s="700"/>
      <c r="N11" s="707">
        <v>116979</v>
      </c>
      <c r="O11" s="266">
        <f t="shared" si="0"/>
        <v>1919</v>
      </c>
      <c r="P11" s="267">
        <f t="shared" si="1"/>
        <v>1.6404653826755229</v>
      </c>
      <c r="Q11" s="594">
        <v>84</v>
      </c>
      <c r="R11" s="901">
        <f t="shared" ref="R11:R23" si="2">(I11/$I$9)*1000</f>
        <v>82.938629961927106</v>
      </c>
      <c r="S11" s="901"/>
      <c r="T11" s="273">
        <f>R11-Q11</f>
        <v>-1.0613700380728943</v>
      </c>
      <c r="U11" s="468">
        <v>1359</v>
      </c>
      <c r="V11" s="277">
        <v>1366.5</v>
      </c>
      <c r="W11" s="951"/>
      <c r="X11" s="838"/>
    </row>
    <row r="12" spans="1:24" ht="15" customHeight="1" x14ac:dyDescent="0.15">
      <c r="A12" s="705"/>
      <c r="B12" s="838" t="s">
        <v>212</v>
      </c>
      <c r="C12" s="838"/>
      <c r="D12" s="525"/>
      <c r="E12" s="910">
        <v>19.8</v>
      </c>
      <c r="F12" s="910"/>
      <c r="G12" s="908">
        <v>39333</v>
      </c>
      <c r="H12" s="908"/>
      <c r="I12" s="908">
        <v>96243</v>
      </c>
      <c r="J12" s="908"/>
      <c r="K12" s="593">
        <v>47022</v>
      </c>
      <c r="L12" s="440">
        <v>49221</v>
      </c>
      <c r="M12" s="700"/>
      <c r="N12" s="707">
        <v>91928</v>
      </c>
      <c r="O12" s="266">
        <f>I12-N12</f>
        <v>4315</v>
      </c>
      <c r="P12" s="267">
        <f t="shared" si="1"/>
        <v>4.6938908711165261</v>
      </c>
      <c r="Q12" s="594">
        <v>66</v>
      </c>
      <c r="R12" s="901">
        <f t="shared" si="2"/>
        <v>67.135381279968968</v>
      </c>
      <c r="S12" s="901"/>
      <c r="T12" s="273">
        <f t="shared" ref="T12:T22" si="3">R12-Q12</f>
        <v>1.1353812799689678</v>
      </c>
      <c r="U12" s="468">
        <v>4666.3999999999996</v>
      </c>
      <c r="V12" s="277">
        <v>4860.8</v>
      </c>
      <c r="W12" s="951"/>
      <c r="X12" s="838"/>
    </row>
    <row r="13" spans="1:24" ht="15" customHeight="1" x14ac:dyDescent="0.15">
      <c r="A13" s="705"/>
      <c r="B13" s="838" t="s">
        <v>210</v>
      </c>
      <c r="C13" s="838"/>
      <c r="D13" s="525"/>
      <c r="E13" s="910">
        <v>204.2</v>
      </c>
      <c r="F13" s="910"/>
      <c r="G13" s="908">
        <v>21977</v>
      </c>
      <c r="H13" s="908"/>
      <c r="I13" s="908">
        <v>51186</v>
      </c>
      <c r="J13" s="908"/>
      <c r="K13" s="593">
        <v>25131</v>
      </c>
      <c r="L13" s="440">
        <v>26055</v>
      </c>
      <c r="M13" s="700"/>
      <c r="N13" s="707">
        <v>52039</v>
      </c>
      <c r="O13" s="268">
        <f t="shared" si="0"/>
        <v>-853</v>
      </c>
      <c r="P13" s="269">
        <f t="shared" si="1"/>
        <v>-1.6391552489479044</v>
      </c>
      <c r="Q13" s="594">
        <v>37.4</v>
      </c>
      <c r="R13" s="901">
        <f t="shared" si="2"/>
        <v>35.70536689625731</v>
      </c>
      <c r="S13" s="901"/>
      <c r="T13" s="273">
        <f t="shared" si="3"/>
        <v>-1.6946331037426887</v>
      </c>
      <c r="U13" s="468">
        <v>254.4</v>
      </c>
      <c r="V13" s="277">
        <v>250.7</v>
      </c>
      <c r="W13" s="951"/>
      <c r="X13" s="838"/>
    </row>
    <row r="14" spans="1:24" ht="15" customHeight="1" x14ac:dyDescent="0.15">
      <c r="A14" s="705"/>
      <c r="B14" s="838" t="s">
        <v>216</v>
      </c>
      <c r="C14" s="838"/>
      <c r="D14" s="525"/>
      <c r="E14" s="910">
        <v>229.34</v>
      </c>
      <c r="F14" s="910"/>
      <c r="G14" s="908">
        <v>20514</v>
      </c>
      <c r="H14" s="908"/>
      <c r="I14" s="908">
        <v>47564</v>
      </c>
      <c r="J14" s="908"/>
      <c r="K14" s="593">
        <v>23659</v>
      </c>
      <c r="L14" s="440">
        <v>23905</v>
      </c>
      <c r="M14" s="700"/>
      <c r="N14" s="707">
        <v>46922</v>
      </c>
      <c r="O14" s="266">
        <f t="shared" si="0"/>
        <v>642</v>
      </c>
      <c r="P14" s="267">
        <f t="shared" si="1"/>
        <v>1.3682281232684028</v>
      </c>
      <c r="Q14" s="594">
        <v>33.700000000000003</v>
      </c>
      <c r="R14" s="901">
        <f t="shared" si="2"/>
        <v>33.178800278466426</v>
      </c>
      <c r="S14" s="901"/>
      <c r="T14" s="273">
        <f t="shared" si="3"/>
        <v>-0.52119972153357708</v>
      </c>
      <c r="U14" s="468">
        <v>204.9</v>
      </c>
      <c r="V14" s="277">
        <v>207.4</v>
      </c>
      <c r="W14" s="951"/>
      <c r="X14" s="838"/>
    </row>
    <row r="15" spans="1:24" ht="15" customHeight="1" x14ac:dyDescent="0.15">
      <c r="A15" s="705"/>
      <c r="B15" s="952" t="s">
        <v>260</v>
      </c>
      <c r="C15" s="952"/>
      <c r="D15" s="708"/>
      <c r="E15" s="943">
        <v>19.48</v>
      </c>
      <c r="F15" s="943"/>
      <c r="G15" s="928">
        <v>44041</v>
      </c>
      <c r="H15" s="928"/>
      <c r="I15" s="928">
        <v>114232</v>
      </c>
      <c r="J15" s="928"/>
      <c r="K15" s="595">
        <v>55471</v>
      </c>
      <c r="L15" s="441">
        <v>58761</v>
      </c>
      <c r="M15" s="700"/>
      <c r="N15" s="709">
        <v>110351</v>
      </c>
      <c r="O15" s="270">
        <f t="shared" si="0"/>
        <v>3881</v>
      </c>
      <c r="P15" s="378">
        <f t="shared" si="1"/>
        <v>3.5169595200768455</v>
      </c>
      <c r="Q15" s="597">
        <v>79.2</v>
      </c>
      <c r="R15" s="944">
        <f>(I15/$I$9)*1000</f>
        <v>79.683809465347252</v>
      </c>
      <c r="S15" s="944"/>
      <c r="T15" s="274">
        <f>R15-Q15</f>
        <v>0.48380946534724956</v>
      </c>
      <c r="U15" s="469">
        <v>5780.6</v>
      </c>
      <c r="V15" s="278">
        <v>5864.1</v>
      </c>
      <c r="W15" s="959"/>
      <c r="X15" s="952"/>
    </row>
    <row r="16" spans="1:24" ht="15" customHeight="1" x14ac:dyDescent="0.15">
      <c r="A16" s="705"/>
      <c r="B16" s="838" t="s">
        <v>218</v>
      </c>
      <c r="C16" s="838"/>
      <c r="D16" s="525"/>
      <c r="E16" s="910">
        <v>210.9</v>
      </c>
      <c r="F16" s="910"/>
      <c r="G16" s="908">
        <v>26142</v>
      </c>
      <c r="H16" s="908"/>
      <c r="I16" s="908">
        <v>61674</v>
      </c>
      <c r="J16" s="908"/>
      <c r="K16" s="593">
        <v>30626</v>
      </c>
      <c r="L16" s="440">
        <v>31048</v>
      </c>
      <c r="M16" s="700"/>
      <c r="N16" s="707">
        <v>60231</v>
      </c>
      <c r="O16" s="266">
        <f t="shared" si="0"/>
        <v>1443</v>
      </c>
      <c r="P16" s="267">
        <f t="shared" si="1"/>
        <v>2.3957762613936349</v>
      </c>
      <c r="Q16" s="594">
        <v>43.2</v>
      </c>
      <c r="R16" s="901">
        <f t="shared" si="2"/>
        <v>43.021388621102901</v>
      </c>
      <c r="S16" s="901"/>
      <c r="T16" s="273">
        <f t="shared" si="3"/>
        <v>-0.17861137889710221</v>
      </c>
      <c r="U16" s="468">
        <v>286.3</v>
      </c>
      <c r="V16" s="277">
        <v>292.39999999999998</v>
      </c>
      <c r="W16" s="951"/>
      <c r="X16" s="838"/>
    </row>
    <row r="17" spans="1:24" ht="15" customHeight="1" x14ac:dyDescent="0.15">
      <c r="A17" s="705"/>
      <c r="B17" s="838" t="s">
        <v>220</v>
      </c>
      <c r="C17" s="838"/>
      <c r="D17" s="525"/>
      <c r="E17" s="910">
        <v>46.62</v>
      </c>
      <c r="F17" s="910"/>
      <c r="G17" s="908">
        <v>20647</v>
      </c>
      <c r="H17" s="908"/>
      <c r="I17" s="908">
        <v>58547</v>
      </c>
      <c r="J17" s="908"/>
      <c r="K17" s="593">
        <v>29333</v>
      </c>
      <c r="L17" s="440">
        <v>29214</v>
      </c>
      <c r="M17" s="700"/>
      <c r="N17" s="707">
        <v>57320</v>
      </c>
      <c r="O17" s="266">
        <f t="shared" si="0"/>
        <v>1227</v>
      </c>
      <c r="P17" s="267">
        <f t="shared" si="1"/>
        <v>2.1406140963014653</v>
      </c>
      <c r="Q17" s="594">
        <v>41.2</v>
      </c>
      <c r="R17" s="901">
        <f t="shared" si="2"/>
        <v>40.840114790668864</v>
      </c>
      <c r="S17" s="901"/>
      <c r="T17" s="273">
        <f t="shared" si="3"/>
        <v>-0.35988520933113932</v>
      </c>
      <c r="U17" s="468">
        <v>1229.3</v>
      </c>
      <c r="V17" s="277">
        <v>1255.8</v>
      </c>
      <c r="W17" s="951"/>
      <c r="X17" s="838"/>
    </row>
    <row r="18" spans="1:24" ht="15" customHeight="1" x14ac:dyDescent="0.15">
      <c r="A18" s="705"/>
      <c r="B18" s="838" t="s">
        <v>222</v>
      </c>
      <c r="C18" s="838"/>
      <c r="D18" s="525"/>
      <c r="E18" s="910">
        <v>49.72</v>
      </c>
      <c r="F18" s="910"/>
      <c r="G18" s="908">
        <v>53325</v>
      </c>
      <c r="H18" s="908"/>
      <c r="I18" s="908">
        <v>139279</v>
      </c>
      <c r="J18" s="908"/>
      <c r="K18" s="593">
        <v>67522</v>
      </c>
      <c r="L18" s="440">
        <v>71757</v>
      </c>
      <c r="M18" s="700"/>
      <c r="N18" s="707">
        <v>130249</v>
      </c>
      <c r="O18" s="266">
        <f t="shared" si="0"/>
        <v>9030</v>
      </c>
      <c r="P18" s="267">
        <f t="shared" si="1"/>
        <v>6.932874724566024</v>
      </c>
      <c r="Q18" s="594">
        <v>93.5</v>
      </c>
      <c r="R18" s="901">
        <f>(I18/$I$9)*1000</f>
        <v>97.155624505603512</v>
      </c>
      <c r="S18" s="901"/>
      <c r="T18" s="273">
        <f t="shared" si="3"/>
        <v>3.6556245056035124</v>
      </c>
      <c r="U18" s="468">
        <v>2658.1</v>
      </c>
      <c r="V18" s="277">
        <v>2801.3</v>
      </c>
      <c r="W18" s="951"/>
      <c r="X18" s="838"/>
    </row>
    <row r="19" spans="1:24" ht="15" customHeight="1" x14ac:dyDescent="0.15">
      <c r="A19" s="705"/>
      <c r="B19" s="838" t="s">
        <v>224</v>
      </c>
      <c r="C19" s="838"/>
      <c r="D19" s="525"/>
      <c r="E19" s="910">
        <v>19.600000000000001</v>
      </c>
      <c r="F19" s="910"/>
      <c r="G19" s="908">
        <v>21780</v>
      </c>
      <c r="H19" s="908"/>
      <c r="I19" s="908">
        <v>61119</v>
      </c>
      <c r="J19" s="908"/>
      <c r="K19" s="593">
        <v>29761</v>
      </c>
      <c r="L19" s="440">
        <v>31358</v>
      </c>
      <c r="M19" s="700"/>
      <c r="N19" s="707">
        <v>57261</v>
      </c>
      <c r="O19" s="266">
        <f>I19-N19</f>
        <v>3858</v>
      </c>
      <c r="P19" s="267">
        <f t="shared" si="1"/>
        <v>6.737570073872269</v>
      </c>
      <c r="Q19" s="594">
        <v>41.1</v>
      </c>
      <c r="R19" s="901">
        <f t="shared" si="2"/>
        <v>42.634242162551288</v>
      </c>
      <c r="S19" s="901"/>
      <c r="T19" s="273">
        <f t="shared" si="3"/>
        <v>1.534242162551287</v>
      </c>
      <c r="U19" s="468">
        <v>2944</v>
      </c>
      <c r="V19" s="277">
        <v>3118.3</v>
      </c>
      <c r="W19" s="951"/>
      <c r="X19" s="838"/>
    </row>
    <row r="20" spans="1:24" ht="15" customHeight="1" x14ac:dyDescent="0.15">
      <c r="A20" s="705"/>
      <c r="B20" s="838" t="s">
        <v>480</v>
      </c>
      <c r="C20" s="838"/>
      <c r="D20" s="525"/>
      <c r="E20" s="930">
        <v>49.94</v>
      </c>
      <c r="F20" s="931"/>
      <c r="G20" s="919">
        <v>14295</v>
      </c>
      <c r="H20" s="919"/>
      <c r="I20" s="908">
        <v>42016</v>
      </c>
      <c r="J20" s="908"/>
      <c r="K20" s="593">
        <v>21194</v>
      </c>
      <c r="L20" s="440">
        <v>20822</v>
      </c>
      <c r="M20" s="700"/>
      <c r="N20" s="710">
        <v>39758</v>
      </c>
      <c r="O20" s="266">
        <f>I20-N20</f>
        <v>2258</v>
      </c>
      <c r="P20" s="267">
        <f t="shared" si="1"/>
        <v>5.6793601287791136</v>
      </c>
      <c r="Q20" s="711">
        <v>28.5</v>
      </c>
      <c r="R20" s="901">
        <f t="shared" si="2"/>
        <v>29.308730815323468</v>
      </c>
      <c r="S20" s="901"/>
      <c r="T20" s="273">
        <f>R20-Q20</f>
        <v>0.80873081532346802</v>
      </c>
      <c r="U20" s="600">
        <v>798.8</v>
      </c>
      <c r="V20" s="712">
        <v>841.3</v>
      </c>
      <c r="W20" s="951"/>
      <c r="X20" s="838"/>
    </row>
    <row r="21" spans="1:24" ht="15" customHeight="1" x14ac:dyDescent="0.15">
      <c r="A21" s="705"/>
      <c r="B21" s="838" t="s">
        <v>204</v>
      </c>
      <c r="C21" s="838"/>
      <c r="D21" s="525"/>
      <c r="E21" s="910">
        <v>15.9</v>
      </c>
      <c r="F21" s="910"/>
      <c r="G21" s="908">
        <v>12641</v>
      </c>
      <c r="H21" s="908"/>
      <c r="I21" s="908">
        <v>34508</v>
      </c>
      <c r="J21" s="908"/>
      <c r="K21" s="593">
        <v>17280</v>
      </c>
      <c r="L21" s="440">
        <v>17228</v>
      </c>
      <c r="M21" s="700"/>
      <c r="N21" s="707">
        <v>34766</v>
      </c>
      <c r="O21" s="736">
        <f t="shared" si="0"/>
        <v>-258</v>
      </c>
      <c r="P21" s="269">
        <f>O21/N21*100</f>
        <v>-0.74210435482943105</v>
      </c>
      <c r="Q21" s="594">
        <v>25</v>
      </c>
      <c r="R21" s="901">
        <f t="shared" si="2"/>
        <v>24.071441426484725</v>
      </c>
      <c r="S21" s="901"/>
      <c r="T21" s="273">
        <f t="shared" si="3"/>
        <v>-0.92855857351527504</v>
      </c>
      <c r="U21" s="468">
        <v>2194.8000000000002</v>
      </c>
      <c r="V21" s="277">
        <v>2170.3000000000002</v>
      </c>
      <c r="W21" s="951"/>
      <c r="X21" s="838"/>
    </row>
    <row r="22" spans="1:24" ht="15" customHeight="1" x14ac:dyDescent="0.15">
      <c r="A22" s="705"/>
      <c r="B22" s="838" t="s">
        <v>479</v>
      </c>
      <c r="C22" s="838"/>
      <c r="D22" s="525"/>
      <c r="E22" s="910">
        <v>5.18</v>
      </c>
      <c r="F22" s="910"/>
      <c r="G22" s="908">
        <v>7003</v>
      </c>
      <c r="H22" s="908"/>
      <c r="I22" s="908">
        <v>18410</v>
      </c>
      <c r="J22" s="908"/>
      <c r="K22" s="593">
        <v>8832</v>
      </c>
      <c r="L22" s="440">
        <v>9578</v>
      </c>
      <c r="M22" s="700"/>
      <c r="N22" s="707">
        <v>16318</v>
      </c>
      <c r="O22" s="266">
        <f t="shared" si="0"/>
        <v>2092</v>
      </c>
      <c r="P22" s="267">
        <f t="shared" si="1"/>
        <v>12.82019855374433</v>
      </c>
      <c r="Q22" s="594">
        <v>11.7</v>
      </c>
      <c r="R22" s="901">
        <f t="shared" si="2"/>
        <v>12.842101444928241</v>
      </c>
      <c r="S22" s="901"/>
      <c r="T22" s="273">
        <f t="shared" si="3"/>
        <v>1.1421014449282421</v>
      </c>
      <c r="U22" s="468">
        <v>3212.2</v>
      </c>
      <c r="V22" s="277">
        <v>3554.1</v>
      </c>
      <c r="W22" s="951"/>
      <c r="X22" s="838"/>
    </row>
    <row r="23" spans="1:24" ht="15" customHeight="1" thickBot="1" x14ac:dyDescent="0.2">
      <c r="A23" s="713"/>
      <c r="B23" s="846" t="s">
        <v>209</v>
      </c>
      <c r="C23" s="846"/>
      <c r="D23" s="540"/>
      <c r="E23" s="924">
        <v>10.76</v>
      </c>
      <c r="F23" s="924"/>
      <c r="G23" s="911">
        <v>12763</v>
      </c>
      <c r="H23" s="911"/>
      <c r="I23" s="911">
        <v>37502</v>
      </c>
      <c r="J23" s="911"/>
      <c r="K23" s="599">
        <v>18429</v>
      </c>
      <c r="L23" s="442">
        <v>19073</v>
      </c>
      <c r="M23" s="700"/>
      <c r="N23" s="714">
        <v>35244</v>
      </c>
      <c r="O23" s="271">
        <f t="shared" si="0"/>
        <v>2258</v>
      </c>
      <c r="P23" s="269">
        <f t="shared" si="1"/>
        <v>6.4067642719328122</v>
      </c>
      <c r="Q23" s="715">
        <v>25.3</v>
      </c>
      <c r="R23" s="901">
        <f t="shared" si="2"/>
        <v>26.159939619103689</v>
      </c>
      <c r="S23" s="901"/>
      <c r="T23" s="275">
        <f>R23-Q23</f>
        <v>0.8599396191036881</v>
      </c>
      <c r="U23" s="470">
        <v>3287.7</v>
      </c>
      <c r="V23" s="279">
        <v>3485.3</v>
      </c>
      <c r="W23" s="951"/>
      <c r="X23" s="838"/>
    </row>
    <row r="24" spans="1:24" ht="15" customHeight="1" x14ac:dyDescent="0.15">
      <c r="B24" s="969" t="s">
        <v>595</v>
      </c>
      <c r="C24" s="969"/>
      <c r="D24" s="969"/>
      <c r="E24" s="969"/>
      <c r="F24" s="969"/>
      <c r="G24" s="969"/>
      <c r="H24" s="969"/>
      <c r="I24" s="969"/>
      <c r="J24" s="969"/>
      <c r="K24" s="969"/>
      <c r="L24" s="699"/>
      <c r="M24" s="700"/>
      <c r="N24" s="685"/>
      <c r="O24" s="685"/>
      <c r="P24" s="716"/>
      <c r="Q24" s="685"/>
      <c r="R24" s="958"/>
      <c r="S24" s="958"/>
      <c r="T24" s="685"/>
      <c r="U24" s="14"/>
      <c r="V24" s="14" t="s">
        <v>613</v>
      </c>
      <c r="W24" s="14"/>
    </row>
    <row r="25" spans="1:24" ht="15" customHeight="1" x14ac:dyDescent="0.15">
      <c r="B25" s="13" t="s">
        <v>667</v>
      </c>
      <c r="C25" s="13"/>
      <c r="D25" s="13"/>
      <c r="E25" s="13"/>
      <c r="F25" s="13"/>
      <c r="G25" s="13"/>
      <c r="H25" s="13"/>
      <c r="I25" s="13"/>
      <c r="J25" s="13"/>
      <c r="K25" s="685"/>
      <c r="L25" s="699"/>
      <c r="M25" s="13"/>
      <c r="N25" s="685"/>
      <c r="O25" s="685"/>
      <c r="P25" s="685"/>
      <c r="Q25" s="685"/>
      <c r="R25" s="685"/>
      <c r="S25" s="685"/>
      <c r="T25" s="685"/>
      <c r="U25" s="685"/>
      <c r="V25" s="685"/>
      <c r="W25" s="14"/>
    </row>
    <row r="26" spans="1:24" ht="15" customHeight="1" x14ac:dyDescent="0.15">
      <c r="B26" s="960" t="s">
        <v>668</v>
      </c>
      <c r="C26" s="960"/>
      <c r="D26" s="960"/>
      <c r="E26" s="960"/>
      <c r="F26" s="960"/>
      <c r="G26" s="960"/>
      <c r="H26" s="960"/>
      <c r="I26" s="960"/>
      <c r="J26" s="960"/>
      <c r="K26" s="13"/>
      <c r="L26" s="699"/>
      <c r="M26" s="13"/>
      <c r="N26" s="685"/>
      <c r="O26" s="685"/>
      <c r="P26" s="685"/>
      <c r="Q26" s="685"/>
      <c r="R26" s="685"/>
      <c r="S26" s="685"/>
      <c r="T26" s="685"/>
      <c r="U26" s="685"/>
      <c r="V26" s="685"/>
      <c r="W26" s="685"/>
    </row>
    <row r="27" spans="1:24" ht="11.25" customHeight="1" x14ac:dyDescent="0.15">
      <c r="B27" s="960"/>
      <c r="C27" s="960"/>
      <c r="D27" s="960"/>
      <c r="E27" s="960"/>
      <c r="F27" s="960"/>
      <c r="G27" s="960"/>
      <c r="H27" s="960"/>
      <c r="I27" s="960"/>
      <c r="J27" s="960"/>
      <c r="K27" s="960"/>
      <c r="L27" s="699"/>
      <c r="M27" s="13"/>
      <c r="N27" s="685"/>
      <c r="O27" s="685"/>
      <c r="P27" s="685"/>
      <c r="Q27" s="685"/>
      <c r="R27" s="685"/>
      <c r="S27" s="685"/>
      <c r="T27" s="685"/>
      <c r="U27" s="685"/>
      <c r="V27" s="685"/>
      <c r="W27" s="685"/>
    </row>
    <row r="28" spans="1:24" ht="15" customHeight="1" thickBot="1" x14ac:dyDescent="0.2">
      <c r="B28" s="13" t="s">
        <v>261</v>
      </c>
      <c r="C28" s="13"/>
      <c r="D28" s="13"/>
      <c r="E28" s="685"/>
      <c r="F28" s="685"/>
      <c r="G28" s="685"/>
      <c r="H28" s="685"/>
      <c r="I28" s="685"/>
      <c r="J28" s="685"/>
      <c r="K28" s="685"/>
      <c r="L28" s="699"/>
      <c r="M28" s="13"/>
      <c r="N28" s="13" t="s">
        <v>262</v>
      </c>
      <c r="O28" s="685"/>
      <c r="P28" s="685"/>
      <c r="Q28" s="685"/>
      <c r="R28" s="685"/>
      <c r="S28" s="685"/>
      <c r="T28" s="685"/>
      <c r="U28" s="685"/>
      <c r="V28" s="685"/>
      <c r="W28" s="685"/>
    </row>
    <row r="29" spans="1:24" ht="15" customHeight="1" x14ac:dyDescent="0.15">
      <c r="A29" s="826" t="s">
        <v>250</v>
      </c>
      <c r="B29" s="813"/>
      <c r="C29" s="813"/>
      <c r="D29" s="813"/>
      <c r="E29" s="813" t="s">
        <v>263</v>
      </c>
      <c r="F29" s="813"/>
      <c r="G29" s="813"/>
      <c r="H29" s="830"/>
      <c r="I29" s="961" t="s">
        <v>264</v>
      </c>
      <c r="J29" s="841"/>
      <c r="K29" s="841"/>
      <c r="L29" s="940"/>
      <c r="M29" s="520"/>
      <c r="N29" s="962" t="s">
        <v>201</v>
      </c>
      <c r="O29" s="964" t="s">
        <v>265</v>
      </c>
      <c r="P29" s="965"/>
      <c r="Q29" s="965"/>
      <c r="R29" s="965"/>
      <c r="S29" s="966"/>
      <c r="T29" s="967" t="s">
        <v>593</v>
      </c>
      <c r="U29" s="965"/>
      <c r="V29" s="965"/>
      <c r="W29" s="968"/>
      <c r="X29" s="520"/>
    </row>
    <row r="30" spans="1:24" ht="15" customHeight="1" x14ac:dyDescent="0.15">
      <c r="A30" s="827"/>
      <c r="B30" s="814"/>
      <c r="C30" s="814"/>
      <c r="D30" s="814"/>
      <c r="E30" s="587" t="s">
        <v>182</v>
      </c>
      <c r="F30" s="587" t="s">
        <v>185</v>
      </c>
      <c r="G30" s="587" t="s">
        <v>188</v>
      </c>
      <c r="H30" s="587" t="s">
        <v>266</v>
      </c>
      <c r="I30" s="704" t="s">
        <v>182</v>
      </c>
      <c r="J30" s="583" t="s">
        <v>185</v>
      </c>
      <c r="K30" s="583" t="s">
        <v>188</v>
      </c>
      <c r="L30" s="246" t="s">
        <v>266</v>
      </c>
      <c r="M30" s="520"/>
      <c r="N30" s="963"/>
      <c r="O30" s="583" t="s">
        <v>182</v>
      </c>
      <c r="P30" s="583" t="s">
        <v>185</v>
      </c>
      <c r="Q30" s="583" t="s">
        <v>188</v>
      </c>
      <c r="R30" s="831" t="s">
        <v>266</v>
      </c>
      <c r="S30" s="938"/>
      <c r="T30" s="583" t="s">
        <v>182</v>
      </c>
      <c r="U30" s="583" t="s">
        <v>185</v>
      </c>
      <c r="V30" s="583" t="s">
        <v>188</v>
      </c>
      <c r="W30" s="717" t="s">
        <v>266</v>
      </c>
      <c r="X30" s="585"/>
    </row>
    <row r="31" spans="1:24" ht="15" customHeight="1" x14ac:dyDescent="0.15">
      <c r="A31" s="705"/>
      <c r="B31" s="956" t="s">
        <v>246</v>
      </c>
      <c r="C31" s="956"/>
      <c r="D31" s="718"/>
      <c r="E31" s="324">
        <f t="shared" ref="E31:E47" si="4">F31+G31</f>
        <v>44780</v>
      </c>
      <c r="F31" s="719">
        <v>46455</v>
      </c>
      <c r="G31" s="283">
        <v>-1675</v>
      </c>
      <c r="H31" s="720" t="s">
        <v>267</v>
      </c>
      <c r="I31" s="719">
        <f t="shared" ref="I31:I47" si="5">+J31+K31</f>
        <v>43374</v>
      </c>
      <c r="J31" s="719">
        <v>41051</v>
      </c>
      <c r="K31" s="283">
        <v>2323</v>
      </c>
      <c r="L31" s="721" t="s">
        <v>268</v>
      </c>
      <c r="M31" s="520"/>
      <c r="N31" s="722" t="s">
        <v>246</v>
      </c>
      <c r="O31" s="324">
        <v>31224</v>
      </c>
      <c r="P31" s="268">
        <v>35842</v>
      </c>
      <c r="Q31" s="283">
        <f>+O31-P31</f>
        <v>-4618</v>
      </c>
      <c r="R31" s="897" t="s">
        <v>5</v>
      </c>
      <c r="S31" s="897"/>
      <c r="T31" s="324">
        <f t="shared" ref="T31:T45" si="6">I9-N9</f>
        <v>40748</v>
      </c>
      <c r="U31" s="268">
        <v>30326</v>
      </c>
      <c r="V31" s="283">
        <f>+T31-U31</f>
        <v>10422</v>
      </c>
      <c r="W31" s="450" t="s">
        <v>7</v>
      </c>
      <c r="X31" s="585"/>
    </row>
    <row r="32" spans="1:24" ht="15" customHeight="1" x14ac:dyDescent="0.15">
      <c r="A32" s="705"/>
      <c r="B32" s="838" t="s">
        <v>206</v>
      </c>
      <c r="C32" s="838"/>
      <c r="D32" s="637"/>
      <c r="E32" s="268">
        <f t="shared" si="4"/>
        <v>-858</v>
      </c>
      <c r="F32" s="283">
        <v>8797</v>
      </c>
      <c r="G32" s="283">
        <v>-9655</v>
      </c>
      <c r="H32" s="720" t="s">
        <v>456</v>
      </c>
      <c r="I32" s="283">
        <f t="shared" si="5"/>
        <v>11361</v>
      </c>
      <c r="J32" s="283">
        <v>7680</v>
      </c>
      <c r="K32" s="283">
        <v>3681</v>
      </c>
      <c r="L32" s="723" t="s">
        <v>268</v>
      </c>
      <c r="M32" s="520"/>
      <c r="N32" s="724" t="s">
        <v>206</v>
      </c>
      <c r="O32" s="268">
        <v>3561</v>
      </c>
      <c r="P32" s="268">
        <v>6363</v>
      </c>
      <c r="Q32" s="283">
        <f>+O32-P32</f>
        <v>-2802</v>
      </c>
      <c r="R32" s="825" t="s">
        <v>587</v>
      </c>
      <c r="S32" s="825"/>
      <c r="T32" s="268">
        <f t="shared" si="6"/>
        <v>3481</v>
      </c>
      <c r="U32" s="268">
        <v>4803</v>
      </c>
      <c r="V32" s="283">
        <f>+T32-U32</f>
        <v>-1322</v>
      </c>
      <c r="W32" s="451" t="s">
        <v>587</v>
      </c>
      <c r="X32" s="585"/>
    </row>
    <row r="33" spans="1:24" ht="15" customHeight="1" x14ac:dyDescent="0.15">
      <c r="A33" s="705"/>
      <c r="B33" s="838" t="s">
        <v>596</v>
      </c>
      <c r="C33" s="838"/>
      <c r="D33" s="637"/>
      <c r="E33" s="361" t="s">
        <v>463</v>
      </c>
      <c r="F33" s="361" t="s">
        <v>463</v>
      </c>
      <c r="G33" s="361" t="s">
        <v>463</v>
      </c>
      <c r="H33" s="361" t="s">
        <v>463</v>
      </c>
      <c r="I33" s="283">
        <f t="shared" si="5"/>
        <v>3543</v>
      </c>
      <c r="J33" s="283">
        <v>3229</v>
      </c>
      <c r="K33" s="283">
        <v>314</v>
      </c>
      <c r="L33" s="723" t="s">
        <v>268</v>
      </c>
      <c r="M33" s="520"/>
      <c r="N33" s="724" t="s">
        <v>208</v>
      </c>
      <c r="O33" s="268">
        <v>3444</v>
      </c>
      <c r="P33" s="268">
        <v>2563</v>
      </c>
      <c r="Q33" s="268">
        <f>+O33-P33</f>
        <v>881</v>
      </c>
      <c r="R33" s="825" t="s">
        <v>7</v>
      </c>
      <c r="S33" s="825"/>
      <c r="T33" s="268">
        <f t="shared" si="6"/>
        <v>1919</v>
      </c>
      <c r="U33" s="268">
        <v>1926</v>
      </c>
      <c r="V33" s="268">
        <f>+T33-U33</f>
        <v>-7</v>
      </c>
      <c r="W33" s="451" t="s">
        <v>587</v>
      </c>
      <c r="X33" s="585"/>
    </row>
    <row r="34" spans="1:24" ht="15" customHeight="1" x14ac:dyDescent="0.15">
      <c r="A34" s="705"/>
      <c r="B34" s="838" t="s">
        <v>605</v>
      </c>
      <c r="C34" s="838"/>
      <c r="D34" s="637"/>
      <c r="E34" s="268">
        <f t="shared" si="4"/>
        <v>184</v>
      </c>
      <c r="F34" s="283">
        <v>748</v>
      </c>
      <c r="G34" s="283">
        <v>-564</v>
      </c>
      <c r="H34" s="720" t="s">
        <v>267</v>
      </c>
      <c r="I34" s="361" t="s">
        <v>463</v>
      </c>
      <c r="J34" s="361" t="s">
        <v>463</v>
      </c>
      <c r="K34" s="361" t="s">
        <v>463</v>
      </c>
      <c r="L34" s="361" t="s">
        <v>463</v>
      </c>
      <c r="M34" s="520"/>
      <c r="N34" s="724" t="s">
        <v>212</v>
      </c>
      <c r="O34" s="268">
        <v>2159</v>
      </c>
      <c r="P34" s="283">
        <v>3924</v>
      </c>
      <c r="Q34" s="283">
        <f t="shared" ref="Q34:Q45" si="7">+O34-P34</f>
        <v>-1765</v>
      </c>
      <c r="R34" s="825" t="s">
        <v>587</v>
      </c>
      <c r="S34" s="825"/>
      <c r="T34" s="268">
        <f t="shared" si="6"/>
        <v>4315</v>
      </c>
      <c r="U34" s="283">
        <v>3535</v>
      </c>
      <c r="V34" s="283">
        <f t="shared" ref="V34:V45" si="8">+T34-U34</f>
        <v>780</v>
      </c>
      <c r="W34" s="451" t="s">
        <v>591</v>
      </c>
      <c r="X34" s="585"/>
    </row>
    <row r="35" spans="1:24" ht="15" customHeight="1" x14ac:dyDescent="0.15">
      <c r="A35" s="705"/>
      <c r="B35" s="957" t="s">
        <v>606</v>
      </c>
      <c r="C35" s="957"/>
      <c r="D35" s="637"/>
      <c r="E35" s="268">
        <f t="shared" si="4"/>
        <v>3892</v>
      </c>
      <c r="F35" s="283">
        <v>2369</v>
      </c>
      <c r="G35" s="283">
        <v>1523</v>
      </c>
      <c r="H35" s="720" t="s">
        <v>268</v>
      </c>
      <c r="I35" s="361" t="s">
        <v>463</v>
      </c>
      <c r="J35" s="361" t="s">
        <v>463</v>
      </c>
      <c r="K35" s="361" t="s">
        <v>463</v>
      </c>
      <c r="L35" s="361" t="s">
        <v>463</v>
      </c>
      <c r="M35" s="520"/>
      <c r="N35" s="724" t="s">
        <v>210</v>
      </c>
      <c r="O35" s="268">
        <v>-1454</v>
      </c>
      <c r="P35" s="283">
        <v>117</v>
      </c>
      <c r="Q35" s="283">
        <f t="shared" si="7"/>
        <v>-1571</v>
      </c>
      <c r="R35" s="825" t="s">
        <v>590</v>
      </c>
      <c r="S35" s="825"/>
      <c r="T35" s="268">
        <f t="shared" si="6"/>
        <v>-853</v>
      </c>
      <c r="U35" s="283">
        <v>-106</v>
      </c>
      <c r="V35" s="283">
        <f t="shared" si="8"/>
        <v>-747</v>
      </c>
      <c r="W35" s="461" t="s">
        <v>610</v>
      </c>
      <c r="X35" s="585"/>
    </row>
    <row r="36" spans="1:24" ht="15" customHeight="1" x14ac:dyDescent="0.15">
      <c r="A36" s="705"/>
      <c r="B36" s="838" t="s">
        <v>212</v>
      </c>
      <c r="C36" s="838"/>
      <c r="D36" s="637"/>
      <c r="E36" s="268">
        <f t="shared" si="4"/>
        <v>3882</v>
      </c>
      <c r="F36" s="283">
        <v>4710</v>
      </c>
      <c r="G36" s="283">
        <v>-828</v>
      </c>
      <c r="H36" s="720" t="s">
        <v>267</v>
      </c>
      <c r="I36" s="283">
        <f t="shared" si="5"/>
        <v>3025</v>
      </c>
      <c r="J36" s="283">
        <v>4112</v>
      </c>
      <c r="K36" s="283">
        <v>-1087</v>
      </c>
      <c r="L36" s="723" t="s">
        <v>267</v>
      </c>
      <c r="M36" s="520"/>
      <c r="N36" s="724" t="s">
        <v>216</v>
      </c>
      <c r="O36" s="268">
        <v>1739</v>
      </c>
      <c r="P36" s="283">
        <v>1506</v>
      </c>
      <c r="Q36" s="283">
        <f t="shared" si="7"/>
        <v>233</v>
      </c>
      <c r="R36" s="825" t="s">
        <v>591</v>
      </c>
      <c r="S36" s="825"/>
      <c r="T36" s="268">
        <f t="shared" si="6"/>
        <v>642</v>
      </c>
      <c r="U36" s="283">
        <v>1014</v>
      </c>
      <c r="V36" s="283">
        <f t="shared" si="8"/>
        <v>-372</v>
      </c>
      <c r="W36" s="451" t="s">
        <v>587</v>
      </c>
      <c r="X36" s="585"/>
    </row>
    <row r="37" spans="1:24" ht="15" customHeight="1" x14ac:dyDescent="0.15">
      <c r="A37" s="705"/>
      <c r="B37" s="838" t="s">
        <v>597</v>
      </c>
      <c r="C37" s="838"/>
      <c r="D37" s="637"/>
      <c r="E37" s="361" t="s">
        <v>463</v>
      </c>
      <c r="F37" s="361" t="s">
        <v>463</v>
      </c>
      <c r="G37" s="361" t="s">
        <v>463</v>
      </c>
      <c r="H37" s="361" t="s">
        <v>463</v>
      </c>
      <c r="I37" s="283">
        <f t="shared" si="5"/>
        <v>-756</v>
      </c>
      <c r="J37" s="283">
        <v>434</v>
      </c>
      <c r="K37" s="283">
        <v>-1190</v>
      </c>
      <c r="L37" s="723" t="s">
        <v>6</v>
      </c>
      <c r="M37" s="725"/>
      <c r="N37" s="726" t="s">
        <v>260</v>
      </c>
      <c r="O37" s="459">
        <v>4302</v>
      </c>
      <c r="P37" s="284">
        <v>4781</v>
      </c>
      <c r="Q37" s="284">
        <f t="shared" si="7"/>
        <v>-479</v>
      </c>
      <c r="R37" s="907" t="s">
        <v>587</v>
      </c>
      <c r="S37" s="907"/>
      <c r="T37" s="459">
        <f t="shared" si="6"/>
        <v>3881</v>
      </c>
      <c r="U37" s="284">
        <v>4044</v>
      </c>
      <c r="V37" s="284">
        <f t="shared" si="8"/>
        <v>-163</v>
      </c>
      <c r="W37" s="460" t="s">
        <v>587</v>
      </c>
      <c r="X37" s="585"/>
    </row>
    <row r="38" spans="1:24" ht="15" customHeight="1" x14ac:dyDescent="0.15">
      <c r="A38" s="705"/>
      <c r="B38" s="838" t="s">
        <v>607</v>
      </c>
      <c r="C38" s="838"/>
      <c r="D38" s="637"/>
      <c r="E38" s="268">
        <f t="shared" si="4"/>
        <v>606</v>
      </c>
      <c r="F38" s="283">
        <v>959</v>
      </c>
      <c r="G38" s="283">
        <v>-353</v>
      </c>
      <c r="H38" s="720" t="s">
        <v>267</v>
      </c>
      <c r="I38" s="361" t="s">
        <v>463</v>
      </c>
      <c r="J38" s="361" t="s">
        <v>463</v>
      </c>
      <c r="K38" s="361" t="s">
        <v>463</v>
      </c>
      <c r="L38" s="361" t="s">
        <v>463</v>
      </c>
      <c r="M38" s="520"/>
      <c r="N38" s="724" t="s">
        <v>218</v>
      </c>
      <c r="O38" s="268">
        <v>768</v>
      </c>
      <c r="P38" s="283">
        <v>1685</v>
      </c>
      <c r="Q38" s="283">
        <f t="shared" si="7"/>
        <v>-917</v>
      </c>
      <c r="R38" s="825" t="s">
        <v>587</v>
      </c>
      <c r="S38" s="825"/>
      <c r="T38" s="268">
        <f t="shared" si="6"/>
        <v>1443</v>
      </c>
      <c r="U38" s="283">
        <v>1341</v>
      </c>
      <c r="V38" s="283">
        <f t="shared" si="8"/>
        <v>102</v>
      </c>
      <c r="W38" s="451" t="s">
        <v>7</v>
      </c>
      <c r="X38" s="585"/>
    </row>
    <row r="39" spans="1:24" ht="15" customHeight="1" x14ac:dyDescent="0.15">
      <c r="A39" s="705"/>
      <c r="B39" s="838" t="s">
        <v>216</v>
      </c>
      <c r="C39" s="838"/>
      <c r="D39" s="637"/>
      <c r="E39" s="268">
        <f t="shared" si="4"/>
        <v>1525</v>
      </c>
      <c r="F39" s="283">
        <v>1441</v>
      </c>
      <c r="G39" s="283">
        <v>84</v>
      </c>
      <c r="H39" s="720" t="s">
        <v>268</v>
      </c>
      <c r="I39" s="283">
        <f t="shared" si="5"/>
        <v>1881</v>
      </c>
      <c r="J39" s="283">
        <v>1254</v>
      </c>
      <c r="K39" s="283">
        <v>627</v>
      </c>
      <c r="L39" s="723" t="s">
        <v>268</v>
      </c>
      <c r="M39" s="520"/>
      <c r="N39" s="724" t="s">
        <v>220</v>
      </c>
      <c r="O39" s="268">
        <v>1504</v>
      </c>
      <c r="P39" s="283">
        <v>1457</v>
      </c>
      <c r="Q39" s="283">
        <f t="shared" si="7"/>
        <v>47</v>
      </c>
      <c r="R39" s="825" t="s">
        <v>591</v>
      </c>
      <c r="S39" s="825"/>
      <c r="T39" s="268">
        <f t="shared" si="6"/>
        <v>1227</v>
      </c>
      <c r="U39" s="283">
        <v>1405</v>
      </c>
      <c r="V39" s="283">
        <f t="shared" si="8"/>
        <v>-178</v>
      </c>
      <c r="W39" s="451" t="s">
        <v>587</v>
      </c>
      <c r="X39" s="585"/>
    </row>
    <row r="40" spans="1:24" ht="15" customHeight="1" x14ac:dyDescent="0.15">
      <c r="A40" s="705"/>
      <c r="B40" s="952" t="s">
        <v>260</v>
      </c>
      <c r="C40" s="952"/>
      <c r="D40" s="727"/>
      <c r="E40" s="459">
        <f t="shared" si="4"/>
        <v>6732</v>
      </c>
      <c r="F40" s="284">
        <v>6416</v>
      </c>
      <c r="G40" s="284">
        <v>316</v>
      </c>
      <c r="H40" s="728" t="s">
        <v>268</v>
      </c>
      <c r="I40" s="284">
        <f t="shared" si="5"/>
        <v>3315</v>
      </c>
      <c r="J40" s="284">
        <v>5585</v>
      </c>
      <c r="K40" s="284">
        <v>-2270</v>
      </c>
      <c r="L40" s="729" t="s">
        <v>267</v>
      </c>
      <c r="M40" s="520"/>
      <c r="N40" s="724" t="s">
        <v>222</v>
      </c>
      <c r="O40" s="268">
        <v>3849</v>
      </c>
      <c r="P40" s="283">
        <v>4852</v>
      </c>
      <c r="Q40" s="283">
        <f t="shared" si="7"/>
        <v>-1003</v>
      </c>
      <c r="R40" s="825" t="s">
        <v>587</v>
      </c>
      <c r="S40" s="825"/>
      <c r="T40" s="268">
        <f t="shared" si="6"/>
        <v>9030</v>
      </c>
      <c r="U40" s="283">
        <v>4043</v>
      </c>
      <c r="V40" s="283">
        <f t="shared" si="8"/>
        <v>4987</v>
      </c>
      <c r="W40" s="451" t="s">
        <v>588</v>
      </c>
      <c r="X40" s="585"/>
    </row>
    <row r="41" spans="1:24" ht="15" customHeight="1" x14ac:dyDescent="0.15">
      <c r="A41" s="705"/>
      <c r="B41" s="838" t="s">
        <v>218</v>
      </c>
      <c r="C41" s="838"/>
      <c r="D41" s="637"/>
      <c r="E41" s="268">
        <f t="shared" si="4"/>
        <v>2651</v>
      </c>
      <c r="F41" s="283">
        <v>1815</v>
      </c>
      <c r="G41" s="283">
        <v>836</v>
      </c>
      <c r="H41" s="720" t="s">
        <v>268</v>
      </c>
      <c r="I41" s="283">
        <f t="shared" si="5"/>
        <v>2857</v>
      </c>
      <c r="J41" s="283">
        <v>1688</v>
      </c>
      <c r="K41" s="283">
        <v>1169</v>
      </c>
      <c r="L41" s="723" t="s">
        <v>268</v>
      </c>
      <c r="M41" s="520"/>
      <c r="N41" s="724" t="s">
        <v>224</v>
      </c>
      <c r="O41" s="268">
        <v>4745</v>
      </c>
      <c r="P41" s="283">
        <v>2724</v>
      </c>
      <c r="Q41" s="283">
        <f t="shared" si="7"/>
        <v>2021</v>
      </c>
      <c r="R41" s="825" t="s">
        <v>7</v>
      </c>
      <c r="S41" s="825"/>
      <c r="T41" s="268">
        <f t="shared" si="6"/>
        <v>3858</v>
      </c>
      <c r="U41" s="283">
        <v>2827</v>
      </c>
      <c r="V41" s="283">
        <f t="shared" si="8"/>
        <v>1031</v>
      </c>
      <c r="W41" s="451" t="s">
        <v>7</v>
      </c>
      <c r="X41" s="585"/>
    </row>
    <row r="42" spans="1:24" ht="15" customHeight="1" x14ac:dyDescent="0.15">
      <c r="A42" s="705"/>
      <c r="B42" s="838" t="s">
        <v>220</v>
      </c>
      <c r="C42" s="838"/>
      <c r="D42" s="637"/>
      <c r="E42" s="268">
        <f t="shared" si="4"/>
        <v>1478</v>
      </c>
      <c r="F42" s="283">
        <v>2041</v>
      </c>
      <c r="G42" s="283">
        <v>-563</v>
      </c>
      <c r="H42" s="720" t="s">
        <v>267</v>
      </c>
      <c r="I42" s="283">
        <f t="shared" si="5"/>
        <v>842</v>
      </c>
      <c r="J42" s="283">
        <v>1584</v>
      </c>
      <c r="K42" s="283">
        <v>-742</v>
      </c>
      <c r="L42" s="723" t="s">
        <v>267</v>
      </c>
      <c r="M42" s="520"/>
      <c r="N42" s="724" t="s">
        <v>604</v>
      </c>
      <c r="O42" s="361" t="s">
        <v>463</v>
      </c>
      <c r="P42" s="361" t="s">
        <v>463</v>
      </c>
      <c r="Q42" s="361" t="s">
        <v>463</v>
      </c>
      <c r="R42" s="361"/>
      <c r="S42" s="361" t="s">
        <v>463</v>
      </c>
      <c r="T42" s="268">
        <f t="shared" si="6"/>
        <v>2258</v>
      </c>
      <c r="U42" s="283">
        <v>-10</v>
      </c>
      <c r="V42" s="283">
        <f>+T42-U42</f>
        <v>2268</v>
      </c>
      <c r="W42" s="451" t="s">
        <v>611</v>
      </c>
      <c r="X42" s="585"/>
    </row>
    <row r="43" spans="1:24" ht="15" customHeight="1" x14ac:dyDescent="0.15">
      <c r="A43" s="705"/>
      <c r="B43" s="838" t="s">
        <v>222</v>
      </c>
      <c r="C43" s="838"/>
      <c r="D43" s="637"/>
      <c r="E43" s="268">
        <f t="shared" si="4"/>
        <v>4350</v>
      </c>
      <c r="F43" s="283">
        <v>5722</v>
      </c>
      <c r="G43" s="283">
        <v>-1372</v>
      </c>
      <c r="H43" s="720" t="s">
        <v>267</v>
      </c>
      <c r="I43" s="283">
        <f t="shared" si="5"/>
        <v>6714</v>
      </c>
      <c r="J43" s="283">
        <v>5426</v>
      </c>
      <c r="K43" s="283">
        <v>1288</v>
      </c>
      <c r="L43" s="723" t="s">
        <v>268</v>
      </c>
      <c r="M43" s="520"/>
      <c r="N43" s="724" t="s">
        <v>204</v>
      </c>
      <c r="O43" s="268">
        <v>1033</v>
      </c>
      <c r="P43" s="283">
        <v>1131</v>
      </c>
      <c r="Q43" s="283">
        <f t="shared" si="7"/>
        <v>-98</v>
      </c>
      <c r="R43" s="825" t="s">
        <v>587</v>
      </c>
      <c r="S43" s="825"/>
      <c r="T43" s="268">
        <f t="shared" si="6"/>
        <v>-258</v>
      </c>
      <c r="U43" s="283">
        <v>898</v>
      </c>
      <c r="V43" s="283">
        <f t="shared" si="8"/>
        <v>-1156</v>
      </c>
      <c r="W43" s="451" t="s">
        <v>590</v>
      </c>
      <c r="X43" s="585"/>
    </row>
    <row r="44" spans="1:24" ht="15" customHeight="1" x14ac:dyDescent="0.15">
      <c r="A44" s="705"/>
      <c r="B44" s="838" t="s">
        <v>204</v>
      </c>
      <c r="C44" s="838"/>
      <c r="D44" s="637"/>
      <c r="E44" s="268">
        <f t="shared" si="4"/>
        <v>4261</v>
      </c>
      <c r="F44" s="283">
        <v>1449</v>
      </c>
      <c r="G44" s="283">
        <v>2812</v>
      </c>
      <c r="H44" s="720" t="s">
        <v>269</v>
      </c>
      <c r="I44" s="283">
        <f t="shared" si="5"/>
        <v>2318</v>
      </c>
      <c r="J44" s="283">
        <v>2541</v>
      </c>
      <c r="K44" s="283">
        <v>-223</v>
      </c>
      <c r="L44" s="723" t="s">
        <v>267</v>
      </c>
      <c r="M44" s="520"/>
      <c r="N44" s="724" t="s">
        <v>205</v>
      </c>
      <c r="O44" s="268">
        <v>975</v>
      </c>
      <c r="P44" s="283">
        <v>379</v>
      </c>
      <c r="Q44" s="283">
        <f t="shared" si="7"/>
        <v>596</v>
      </c>
      <c r="R44" s="825" t="s">
        <v>588</v>
      </c>
      <c r="S44" s="825"/>
      <c r="T44" s="268">
        <f t="shared" si="6"/>
        <v>2092</v>
      </c>
      <c r="U44" s="283">
        <v>677</v>
      </c>
      <c r="V44" s="283">
        <f t="shared" si="8"/>
        <v>1415</v>
      </c>
      <c r="W44" s="451" t="s">
        <v>588</v>
      </c>
      <c r="X44" s="585"/>
    </row>
    <row r="45" spans="1:24" ht="15" customHeight="1" thickBot="1" x14ac:dyDescent="0.2">
      <c r="A45" s="705"/>
      <c r="B45" s="838" t="s">
        <v>270</v>
      </c>
      <c r="C45" s="838"/>
      <c r="D45" s="637"/>
      <c r="E45" s="268">
        <f t="shared" si="4"/>
        <v>4945</v>
      </c>
      <c r="F45" s="283">
        <v>2659</v>
      </c>
      <c r="G45" s="283">
        <v>2286</v>
      </c>
      <c r="H45" s="720" t="s">
        <v>268</v>
      </c>
      <c r="I45" s="283">
        <f t="shared" si="5"/>
        <v>956</v>
      </c>
      <c r="J45" s="283">
        <v>1356</v>
      </c>
      <c r="K45" s="283">
        <v>-400</v>
      </c>
      <c r="L45" s="723" t="s">
        <v>267</v>
      </c>
      <c r="M45" s="520"/>
      <c r="N45" s="730" t="s">
        <v>209</v>
      </c>
      <c r="O45" s="325">
        <v>1707</v>
      </c>
      <c r="P45" s="285">
        <v>1577</v>
      </c>
      <c r="Q45" s="285">
        <f t="shared" si="7"/>
        <v>130</v>
      </c>
      <c r="R45" s="891" t="s">
        <v>591</v>
      </c>
      <c r="S45" s="891"/>
      <c r="T45" s="325">
        <f t="shared" si="6"/>
        <v>2258</v>
      </c>
      <c r="U45" s="285">
        <v>1657</v>
      </c>
      <c r="V45" s="285">
        <f t="shared" si="8"/>
        <v>601</v>
      </c>
      <c r="W45" s="452" t="s">
        <v>591</v>
      </c>
      <c r="X45" s="585"/>
    </row>
    <row r="46" spans="1:24" ht="15" customHeight="1" x14ac:dyDescent="0.15">
      <c r="A46" s="705"/>
      <c r="B46" s="838" t="s">
        <v>205</v>
      </c>
      <c r="C46" s="838"/>
      <c r="D46" s="637"/>
      <c r="E46" s="268">
        <f t="shared" si="4"/>
        <v>259</v>
      </c>
      <c r="F46" s="283">
        <v>518</v>
      </c>
      <c r="G46" s="283">
        <v>-259</v>
      </c>
      <c r="H46" s="720" t="s">
        <v>267</v>
      </c>
      <c r="I46" s="283">
        <f t="shared" si="5"/>
        <v>234</v>
      </c>
      <c r="J46" s="283">
        <v>415</v>
      </c>
      <c r="K46" s="283">
        <v>-181</v>
      </c>
      <c r="L46" s="723" t="s">
        <v>267</v>
      </c>
      <c r="M46" s="700"/>
      <c r="N46" s="283"/>
      <c r="O46" s="283"/>
      <c r="P46" s="283"/>
      <c r="Q46" s="702"/>
      <c r="R46" s="702"/>
      <c r="S46" s="702"/>
      <c r="T46" s="268"/>
      <c r="U46" s="268"/>
      <c r="V46" s="283"/>
      <c r="W46" s="14" t="s">
        <v>613</v>
      </c>
    </row>
    <row r="47" spans="1:24" ht="15" customHeight="1" thickBot="1" x14ac:dyDescent="0.2">
      <c r="A47" s="713"/>
      <c r="B47" s="846" t="s">
        <v>209</v>
      </c>
      <c r="C47" s="846"/>
      <c r="D47" s="731"/>
      <c r="E47" s="325">
        <f t="shared" si="4"/>
        <v>1850</v>
      </c>
      <c r="F47" s="285">
        <v>1628</v>
      </c>
      <c r="G47" s="285">
        <v>222</v>
      </c>
      <c r="H47" s="732" t="s">
        <v>268</v>
      </c>
      <c r="I47" s="285">
        <f t="shared" si="5"/>
        <v>1438</v>
      </c>
      <c r="J47" s="285">
        <v>1580</v>
      </c>
      <c r="K47" s="285">
        <v>-142</v>
      </c>
      <c r="L47" s="733" t="s">
        <v>267</v>
      </c>
      <c r="M47" s="13" t="s">
        <v>272</v>
      </c>
      <c r="N47" s="685"/>
      <c r="O47" s="685"/>
      <c r="P47" s="685"/>
      <c r="Q47" s="685"/>
      <c r="R47" s="685"/>
      <c r="S47" s="685"/>
      <c r="T47" s="685"/>
      <c r="U47" s="685"/>
      <c r="V47" s="685"/>
    </row>
    <row r="48" spans="1:24" ht="15" customHeight="1" x14ac:dyDescent="0.15">
      <c r="A48" s="700"/>
      <c r="B48" s="520" t="s">
        <v>271</v>
      </c>
      <c r="C48" s="734"/>
      <c r="D48" s="520"/>
      <c r="E48" s="268"/>
      <c r="F48" s="268"/>
      <c r="G48" s="268"/>
      <c r="H48" s="702"/>
      <c r="I48" s="268"/>
      <c r="J48" s="268"/>
      <c r="K48" s="268"/>
      <c r="L48" s="702"/>
      <c r="M48" s="13" t="s">
        <v>273</v>
      </c>
      <c r="N48" s="685"/>
      <c r="O48" s="685"/>
      <c r="P48" s="685"/>
      <c r="Q48" s="685"/>
      <c r="R48" s="685"/>
      <c r="S48" s="685"/>
      <c r="T48" s="685"/>
      <c r="U48" s="685"/>
      <c r="V48" s="685"/>
      <c r="W48" s="685"/>
    </row>
    <row r="49" spans="2:23" ht="15" customHeight="1" x14ac:dyDescent="0.15">
      <c r="B49" s="954" t="s">
        <v>603</v>
      </c>
      <c r="C49" s="13" t="s">
        <v>600</v>
      </c>
      <c r="D49" s="13"/>
      <c r="E49" s="685"/>
      <c r="F49" s="685"/>
      <c r="G49" s="685"/>
      <c r="H49" s="685"/>
      <c r="I49" s="685"/>
      <c r="J49" s="685"/>
      <c r="K49" s="685"/>
      <c r="L49" s="699"/>
      <c r="M49" s="735" t="s">
        <v>274</v>
      </c>
      <c r="N49" s="735"/>
      <c r="O49" s="735"/>
      <c r="P49" s="735"/>
      <c r="Q49" s="735"/>
      <c r="S49" s="953" t="s">
        <v>275</v>
      </c>
      <c r="T49" s="953"/>
      <c r="U49" s="953"/>
      <c r="V49" s="953"/>
    </row>
    <row r="50" spans="2:23" ht="15" customHeight="1" x14ac:dyDescent="0.15">
      <c r="B50" s="954"/>
      <c r="C50" s="13" t="s">
        <v>598</v>
      </c>
      <c r="D50" s="13"/>
      <c r="E50" s="685"/>
      <c r="F50" s="685"/>
      <c r="G50" s="685"/>
      <c r="H50" s="685"/>
      <c r="I50" s="685"/>
      <c r="J50" s="685"/>
      <c r="K50" s="685"/>
      <c r="L50" s="699"/>
      <c r="M50" s="735" t="s">
        <v>276</v>
      </c>
      <c r="N50" s="735"/>
      <c r="O50" s="735"/>
      <c r="P50" s="735"/>
      <c r="Q50" s="735"/>
      <c r="R50" s="685"/>
      <c r="S50" s="953" t="s">
        <v>277</v>
      </c>
      <c r="T50" s="953"/>
      <c r="U50" s="953"/>
      <c r="V50" s="953"/>
      <c r="W50" s="685"/>
    </row>
    <row r="51" spans="2:23" ht="15" customHeight="1" x14ac:dyDescent="0.15">
      <c r="B51" s="954"/>
      <c r="C51" s="13" t="s">
        <v>599</v>
      </c>
      <c r="D51" s="13"/>
      <c r="E51" s="685"/>
      <c r="F51" s="685"/>
      <c r="G51" s="685"/>
      <c r="H51" s="685"/>
      <c r="I51" s="685"/>
      <c r="J51" s="685"/>
      <c r="K51" s="685"/>
      <c r="L51" s="699"/>
      <c r="M51" s="735" t="s">
        <v>278</v>
      </c>
      <c r="N51" s="735"/>
      <c r="O51" s="735"/>
      <c r="P51" s="735"/>
      <c r="Q51" s="735"/>
      <c r="R51" s="520"/>
      <c r="S51" s="953" t="s">
        <v>279</v>
      </c>
      <c r="T51" s="953"/>
      <c r="U51" s="953"/>
      <c r="V51" s="953"/>
      <c r="W51" s="520"/>
    </row>
    <row r="52" spans="2:23" ht="15" customHeight="1" x14ac:dyDescent="0.15">
      <c r="B52" s="954"/>
      <c r="C52" s="13" t="s">
        <v>601</v>
      </c>
      <c r="D52" s="13"/>
      <c r="E52" s="685"/>
      <c r="F52" s="685"/>
      <c r="G52" s="685"/>
      <c r="H52" s="685"/>
      <c r="I52" s="685"/>
      <c r="J52" s="685"/>
      <c r="K52" s="685"/>
      <c r="L52" s="699"/>
      <c r="M52" s="955" t="s">
        <v>280</v>
      </c>
      <c r="N52" s="955"/>
      <c r="O52" s="955"/>
      <c r="P52" s="955"/>
      <c r="Q52" s="955"/>
      <c r="R52" s="520"/>
      <c r="S52" s="953" t="s">
        <v>281</v>
      </c>
      <c r="T52" s="953"/>
      <c r="U52" s="953"/>
      <c r="V52" s="953"/>
      <c r="W52" s="520"/>
    </row>
    <row r="53" spans="2:23" ht="15" customHeight="1" x14ac:dyDescent="0.15">
      <c r="B53" s="954"/>
      <c r="C53" s="13" t="s">
        <v>602</v>
      </c>
      <c r="D53" s="13"/>
      <c r="E53" s="685"/>
      <c r="F53" s="685"/>
      <c r="G53" s="685"/>
      <c r="H53" s="685"/>
      <c r="I53" s="685"/>
      <c r="J53" s="685"/>
      <c r="K53" s="685"/>
      <c r="L53" s="699"/>
    </row>
  </sheetData>
  <sheetProtection sheet="1" objects="1" scenarios="1"/>
  <mergeCells count="151">
    <mergeCell ref="W19:X19"/>
    <mergeCell ref="W20:X20"/>
    <mergeCell ref="W21:X21"/>
    <mergeCell ref="W22:X22"/>
    <mergeCell ref="W23:X23"/>
    <mergeCell ref="B26:J26"/>
    <mergeCell ref="B27:K27"/>
    <mergeCell ref="A29:D30"/>
    <mergeCell ref="E29:H29"/>
    <mergeCell ref="I29:L29"/>
    <mergeCell ref="N29:N30"/>
    <mergeCell ref="O29:S29"/>
    <mergeCell ref="T29:W29"/>
    <mergeCell ref="R30:S30"/>
    <mergeCell ref="B21:C21"/>
    <mergeCell ref="E21:F21"/>
    <mergeCell ref="G21:H21"/>
    <mergeCell ref="R21:S21"/>
    <mergeCell ref="I21:J21"/>
    <mergeCell ref="B24:K24"/>
    <mergeCell ref="G22:H22"/>
    <mergeCell ref="I22:J22"/>
    <mergeCell ref="R20:S20"/>
    <mergeCell ref="R22:S22"/>
    <mergeCell ref="W10:X10"/>
    <mergeCell ref="W11:X11"/>
    <mergeCell ref="W12:X12"/>
    <mergeCell ref="W13:X13"/>
    <mergeCell ref="W14:X14"/>
    <mergeCell ref="W15:X15"/>
    <mergeCell ref="W16:X16"/>
    <mergeCell ref="W17:X17"/>
    <mergeCell ref="W18:X18"/>
    <mergeCell ref="B33:C33"/>
    <mergeCell ref="R31:S31"/>
    <mergeCell ref="R37:S37"/>
    <mergeCell ref="E22:F22"/>
    <mergeCell ref="B22:C22"/>
    <mergeCell ref="R23:S23"/>
    <mergeCell ref="R24:S24"/>
    <mergeCell ref="B23:C23"/>
    <mergeCell ref="E23:F23"/>
    <mergeCell ref="G23:H23"/>
    <mergeCell ref="I23:J23"/>
    <mergeCell ref="B20:C20"/>
    <mergeCell ref="R34:S34"/>
    <mergeCell ref="E20:F20"/>
    <mergeCell ref="G20:H20"/>
    <mergeCell ref="I20:J20"/>
    <mergeCell ref="B31:C31"/>
    <mergeCell ref="B44:C44"/>
    <mergeCell ref="R44:S44"/>
    <mergeCell ref="B42:C42"/>
    <mergeCell ref="B43:C43"/>
    <mergeCell ref="B41:C41"/>
    <mergeCell ref="R41:S41"/>
    <mergeCell ref="B40:C40"/>
    <mergeCell ref="R40:S40"/>
    <mergeCell ref="R43:S43"/>
    <mergeCell ref="B37:C37"/>
    <mergeCell ref="B36:C36"/>
    <mergeCell ref="R32:S32"/>
    <mergeCell ref="B34:C34"/>
    <mergeCell ref="B32:C32"/>
    <mergeCell ref="R33:S33"/>
    <mergeCell ref="R36:S36"/>
    <mergeCell ref="B35:C35"/>
    <mergeCell ref="R35:S35"/>
    <mergeCell ref="B39:C39"/>
    <mergeCell ref="R39:S39"/>
    <mergeCell ref="B38:C38"/>
    <mergeCell ref="R38:S38"/>
    <mergeCell ref="B45:C45"/>
    <mergeCell ref="R45:S45"/>
    <mergeCell ref="B46:C46"/>
    <mergeCell ref="S52:V52"/>
    <mergeCell ref="S50:V50"/>
    <mergeCell ref="S51:V51"/>
    <mergeCell ref="B47:C47"/>
    <mergeCell ref="B49:B53"/>
    <mergeCell ref="S49:V49"/>
    <mergeCell ref="M52:Q52"/>
    <mergeCell ref="R18:S18"/>
    <mergeCell ref="B19:C19"/>
    <mergeCell ref="E19:F19"/>
    <mergeCell ref="G19:H19"/>
    <mergeCell ref="I19:J19"/>
    <mergeCell ref="R19:S19"/>
    <mergeCell ref="B18:C18"/>
    <mergeCell ref="E18:F18"/>
    <mergeCell ref="G18:H18"/>
    <mergeCell ref="I18:J18"/>
    <mergeCell ref="R16:S16"/>
    <mergeCell ref="B17:C17"/>
    <mergeCell ref="E17:F17"/>
    <mergeCell ref="G17:H17"/>
    <mergeCell ref="I17:J17"/>
    <mergeCell ref="R17:S17"/>
    <mergeCell ref="B16:C16"/>
    <mergeCell ref="E16:F16"/>
    <mergeCell ref="G16:H16"/>
    <mergeCell ref="I16:J16"/>
    <mergeCell ref="R14:S14"/>
    <mergeCell ref="B15:C15"/>
    <mergeCell ref="E15:F15"/>
    <mergeCell ref="G15:H15"/>
    <mergeCell ref="I15:J15"/>
    <mergeCell ref="R15:S15"/>
    <mergeCell ref="B14:C14"/>
    <mergeCell ref="E14:F14"/>
    <mergeCell ref="G14:H14"/>
    <mergeCell ref="I14:J14"/>
    <mergeCell ref="R12:S12"/>
    <mergeCell ref="B13:C13"/>
    <mergeCell ref="E13:F13"/>
    <mergeCell ref="G13:H13"/>
    <mergeCell ref="I13:J13"/>
    <mergeCell ref="R13:S13"/>
    <mergeCell ref="B12:C12"/>
    <mergeCell ref="E12:F12"/>
    <mergeCell ref="G12:H12"/>
    <mergeCell ref="I12:J12"/>
    <mergeCell ref="R10:S10"/>
    <mergeCell ref="B11:C11"/>
    <mergeCell ref="E11:F11"/>
    <mergeCell ref="G11:H11"/>
    <mergeCell ref="I11:J11"/>
    <mergeCell ref="R11:S11"/>
    <mergeCell ref="B10:C10"/>
    <mergeCell ref="E10:F10"/>
    <mergeCell ref="G10:H10"/>
    <mergeCell ref="I10:J10"/>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W9:X9"/>
  </mergeCells>
  <phoneticPr fontId="18"/>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大道 雅穂</cp:lastModifiedBy>
  <cp:lastPrinted>2018-03-13T00:59:11Z</cp:lastPrinted>
  <dcterms:created xsi:type="dcterms:W3CDTF">2012-02-23T07:51:36Z</dcterms:created>
  <dcterms:modified xsi:type="dcterms:W3CDTF">2018-03-15T00:30:56Z</dcterms:modified>
</cp:coreProperties>
</file>