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８年版統計うらそえ\H28\HP掲載用（Excel）\"/>
    </mc:Choice>
  </mc:AlternateContent>
  <bookViews>
    <workbookView xWindow="0" yWindow="0" windowWidth="20490" windowHeight="7770" tabRatio="601"/>
  </bookViews>
  <sheets>
    <sheet name="-39-" sheetId="14" r:id="rId1"/>
    <sheet name="‐40‐" sheetId="2" r:id="rId2"/>
    <sheet name="‐41‐" sheetId="18" r:id="rId3"/>
    <sheet name="‐42‐" sheetId="3" r:id="rId4"/>
    <sheet name="‐43‐" sheetId="4" r:id="rId5"/>
    <sheet name="‐44‐" sheetId="21" r:id="rId6"/>
    <sheet name="‐45‐" sheetId="6" r:id="rId7"/>
    <sheet name="‐46‐" sheetId="7" r:id="rId8"/>
    <sheet name="‐47‐" sheetId="19" r:id="rId9"/>
    <sheet name="‐48‐" sheetId="8" r:id="rId10"/>
    <sheet name="‐49‐" sheetId="9" r:id="rId11"/>
    <sheet name="‐50‐" sheetId="10" r:id="rId12"/>
    <sheet name="‐51‐" sheetId="17" r:id="rId13"/>
    <sheet name="‐52‐" sheetId="15" r:id="rId14"/>
    <sheet name="‐53‐" sheetId="11" r:id="rId15"/>
    <sheet name="‐54‐" sheetId="12" r:id="rId16"/>
    <sheet name="グラフ" sheetId="20" r:id="rId17"/>
  </sheets>
  <definedNames>
    <definedName name="_xlnm.Print_Area" localSheetId="0">'-39-'!$A$1:$J$47</definedName>
    <definedName name="_xlnm.Print_Area" localSheetId="1">‐40‐!$A$1:$H$49</definedName>
    <definedName name="_xlnm.Print_Area" localSheetId="2">‐41‐!$I$1:$P$49</definedName>
    <definedName name="_xlnm.Print_Area" localSheetId="3">‐42‐!$A$1:$J$58</definedName>
    <definedName name="_xlnm.Print_Area" localSheetId="4">‐43‐!$A$1:$H$33</definedName>
    <definedName name="_xlnm.Print_Area" localSheetId="5">‐44‐!$A$1:$L$56</definedName>
    <definedName name="_xlnm.Print_Area" localSheetId="7">‐46‐!$A$1:$L$53</definedName>
    <definedName name="_xlnm.Print_Area" localSheetId="8">‐47‐!$M$1:$W$53</definedName>
    <definedName name="_xlnm.Print_Area" localSheetId="9">‐48‐!$A$1:$G$44</definedName>
    <definedName name="_xlnm.Print_Area" localSheetId="11">‐50‐!$A$1:$L$38</definedName>
    <definedName name="_xlnm.Print_Area" localSheetId="12">‐51‐!$N$1:$X$39</definedName>
    <definedName name="_xlnm.Print_Area" localSheetId="13">‐52‐!$A$1:$H$40</definedName>
    <definedName name="_xlnm.Print_Area" localSheetId="14">‐53‐!$I$1:$Q$40</definedName>
    <definedName name="_xlnm.Print_Area" localSheetId="15">‐54‐!$A$1:$K$46</definedName>
    <definedName name="_xlnm.Print_Area" localSheetId="16">グラフ!$A$1:$F$244</definedName>
  </definedNames>
  <calcPr calcId="152511"/>
</workbook>
</file>

<file path=xl/calcChain.xml><?xml version="1.0" encoding="utf-8"?>
<calcChain xmlns="http://schemas.openxmlformats.org/spreadsheetml/2006/main">
  <c r="P20" i="15" l="1"/>
  <c r="N20" i="15"/>
  <c r="L20" i="15"/>
  <c r="J20" i="15"/>
  <c r="P19" i="15"/>
  <c r="N19" i="15"/>
  <c r="L19" i="15"/>
  <c r="J19" i="15"/>
  <c r="P18" i="15"/>
  <c r="N18" i="15"/>
  <c r="L18" i="15"/>
  <c r="J18" i="15"/>
  <c r="P17" i="15"/>
  <c r="N17" i="15"/>
  <c r="L17" i="15"/>
  <c r="J17" i="15"/>
  <c r="P16" i="15"/>
  <c r="N16" i="15"/>
  <c r="L16" i="15"/>
  <c r="J16" i="15"/>
  <c r="P15" i="15"/>
  <c r="N15" i="15"/>
  <c r="J15" i="15"/>
  <c r="P14" i="15"/>
  <c r="N14" i="15"/>
  <c r="L14" i="15"/>
  <c r="J14" i="15"/>
  <c r="P13" i="15"/>
  <c r="N13" i="15"/>
  <c r="L13" i="15"/>
  <c r="J13" i="15"/>
  <c r="P12" i="15"/>
  <c r="N12" i="15"/>
  <c r="L12" i="15"/>
  <c r="J12" i="15"/>
  <c r="P11" i="15"/>
  <c r="N11" i="15"/>
  <c r="L11" i="15"/>
  <c r="J11" i="15"/>
  <c r="P10" i="15"/>
  <c r="N10" i="15"/>
  <c r="L10" i="15"/>
  <c r="J10" i="15"/>
  <c r="L4" i="21" l="1"/>
  <c r="P292" i="20" l="1"/>
  <c r="O292" i="20"/>
  <c r="N292" i="20"/>
  <c r="P290" i="20"/>
  <c r="P289" i="20"/>
  <c r="O289" i="20" l="1"/>
  <c r="N289" i="20"/>
  <c r="N14" i="11"/>
  <c r="L14" i="11"/>
  <c r="P40" i="18"/>
  <c r="P39" i="18"/>
  <c r="P38" i="18"/>
  <c r="O40" i="18"/>
  <c r="O39" i="18"/>
  <c r="I32" i="20"/>
  <c r="V31" i="19" l="1"/>
  <c r="N12" i="11" l="1"/>
  <c r="J20" i="11"/>
  <c r="J13" i="11"/>
  <c r="R23" i="7" l="1"/>
  <c r="R22" i="7"/>
  <c r="R21" i="7"/>
  <c r="R20" i="7"/>
  <c r="R19" i="7"/>
  <c r="R18" i="7"/>
  <c r="R17" i="7"/>
  <c r="R16" i="7"/>
  <c r="R15" i="7"/>
  <c r="R14" i="7"/>
  <c r="R13" i="7"/>
  <c r="R12" i="7"/>
  <c r="R11" i="7"/>
  <c r="R10" i="7"/>
  <c r="R9" i="7"/>
  <c r="R18" i="19"/>
  <c r="R15" i="19"/>
  <c r="T15" i="19"/>
  <c r="R11" i="19"/>
  <c r="R12" i="19"/>
  <c r="R13" i="19"/>
  <c r="R14" i="19"/>
  <c r="R16" i="19"/>
  <c r="R17" i="19"/>
  <c r="R19" i="19"/>
  <c r="R20" i="19"/>
  <c r="R21" i="19"/>
  <c r="R22" i="19"/>
  <c r="R23" i="19"/>
  <c r="R10" i="19"/>
  <c r="R9" i="19"/>
  <c r="P20" i="19"/>
  <c r="O20" i="19"/>
  <c r="O20" i="7"/>
  <c r="P20" i="7" s="1"/>
  <c r="H10" i="4"/>
  <c r="H25" i="4"/>
  <c r="G13" i="4"/>
  <c r="G9" i="4"/>
  <c r="I7" i="3" l="1"/>
  <c r="J7" i="3"/>
  <c r="N32" i="2"/>
  <c r="E43" i="14"/>
  <c r="H17" i="4" l="1"/>
  <c r="F8" i="4"/>
  <c r="G8" i="4"/>
  <c r="H8" i="4"/>
  <c r="I8" i="4"/>
  <c r="L8" i="4"/>
  <c r="E14" i="3" l="1"/>
  <c r="I14" i="3"/>
  <c r="J21" i="3"/>
  <c r="I21" i="3"/>
  <c r="H14" i="3"/>
  <c r="G14" i="3"/>
  <c r="F21" i="3"/>
  <c r="F14" i="3" s="1"/>
  <c r="E6" i="3" l="1"/>
  <c r="F26" i="3"/>
  <c r="L47" i="18"/>
  <c r="K47" i="18"/>
  <c r="H47" i="18"/>
  <c r="G47" i="18"/>
  <c r="D47" i="18"/>
  <c r="C47" i="18"/>
  <c r="J46" i="18"/>
  <c r="F46" i="18"/>
  <c r="B46" i="18"/>
  <c r="J45" i="18"/>
  <c r="F45" i="18"/>
  <c r="B45" i="18"/>
  <c r="J44" i="18"/>
  <c r="F44" i="18"/>
  <c r="B44" i="18"/>
  <c r="J43" i="18"/>
  <c r="F43" i="18"/>
  <c r="B43" i="18"/>
  <c r="J42" i="18"/>
  <c r="J47" i="18" s="1"/>
  <c r="F42" i="18"/>
  <c r="F47" i="18" s="1"/>
  <c r="B42" i="18"/>
  <c r="B47" i="18" s="1"/>
  <c r="L40" i="18"/>
  <c r="K40" i="18"/>
  <c r="H40" i="18"/>
  <c r="G40" i="18"/>
  <c r="D40" i="18"/>
  <c r="C40" i="18"/>
  <c r="O32" i="18" s="1"/>
  <c r="N32" i="18" s="1"/>
  <c r="J39" i="18"/>
  <c r="F39" i="18"/>
  <c r="B39" i="18"/>
  <c r="J38" i="18"/>
  <c r="F38" i="18"/>
  <c r="B38" i="18"/>
  <c r="J37" i="18"/>
  <c r="F37" i="18"/>
  <c r="B37" i="18"/>
  <c r="J36" i="18"/>
  <c r="J40" i="18" s="1"/>
  <c r="F36" i="18"/>
  <c r="B36" i="18"/>
  <c r="J35" i="18"/>
  <c r="F35" i="18"/>
  <c r="F40" i="18" s="1"/>
  <c r="B35" i="18"/>
  <c r="B40" i="18" s="1"/>
  <c r="P33" i="18"/>
  <c r="L33" i="18"/>
  <c r="P36" i="18" s="1"/>
  <c r="K33" i="18"/>
  <c r="O36" i="18" s="1"/>
  <c r="H33" i="18"/>
  <c r="G33" i="18"/>
  <c r="D33" i="18"/>
  <c r="C33" i="18"/>
  <c r="O33" i="18" s="1"/>
  <c r="N33" i="18" s="1"/>
  <c r="P32" i="18"/>
  <c r="J32" i="18"/>
  <c r="F32" i="18"/>
  <c r="F33" i="18" s="1"/>
  <c r="B32" i="18"/>
  <c r="J31" i="18"/>
  <c r="F31" i="18"/>
  <c r="B31" i="18"/>
  <c r="J30" i="18"/>
  <c r="F30" i="18"/>
  <c r="B30" i="18"/>
  <c r="B33" i="18" s="1"/>
  <c r="J29" i="18"/>
  <c r="F29" i="18"/>
  <c r="B29" i="18"/>
  <c r="N28" i="18"/>
  <c r="J28" i="18"/>
  <c r="J33" i="18" s="1"/>
  <c r="F28" i="18"/>
  <c r="B28" i="18"/>
  <c r="P26" i="18"/>
  <c r="O26" i="18"/>
  <c r="L26" i="18"/>
  <c r="K26" i="18"/>
  <c r="H26" i="18"/>
  <c r="G26" i="18"/>
  <c r="F26" i="18"/>
  <c r="D26" i="18"/>
  <c r="C26" i="18"/>
  <c r="N25" i="18"/>
  <c r="J25" i="18"/>
  <c r="F25" i="18"/>
  <c r="B25" i="18"/>
  <c r="N24" i="18"/>
  <c r="J24" i="18"/>
  <c r="F24" i="18"/>
  <c r="B24" i="18"/>
  <c r="N23" i="18"/>
  <c r="J23" i="18"/>
  <c r="F23" i="18"/>
  <c r="B23" i="18"/>
  <c r="N22" i="18"/>
  <c r="J22" i="18"/>
  <c r="F22" i="18"/>
  <c r="B22" i="18"/>
  <c r="N21" i="18"/>
  <c r="N26" i="18" s="1"/>
  <c r="J21" i="18"/>
  <c r="J26" i="18" s="1"/>
  <c r="F21" i="18"/>
  <c r="B21" i="18"/>
  <c r="B26" i="18" s="1"/>
  <c r="P19" i="18"/>
  <c r="O19" i="18"/>
  <c r="L19" i="18"/>
  <c r="K19" i="18"/>
  <c r="H19" i="18"/>
  <c r="G19" i="18"/>
  <c r="F19" i="18"/>
  <c r="D19" i="18"/>
  <c r="C19" i="18"/>
  <c r="N18" i="18"/>
  <c r="J18" i="18"/>
  <c r="F18" i="18"/>
  <c r="B18" i="18"/>
  <c r="N17" i="18"/>
  <c r="J17" i="18"/>
  <c r="F17" i="18"/>
  <c r="B17" i="18"/>
  <c r="N16" i="18"/>
  <c r="J16" i="18"/>
  <c r="F16" i="18"/>
  <c r="B16" i="18"/>
  <c r="N15" i="18"/>
  <c r="J15" i="18"/>
  <c r="F15" i="18"/>
  <c r="B15" i="18"/>
  <c r="N14" i="18"/>
  <c r="N19" i="18" s="1"/>
  <c r="J14" i="18"/>
  <c r="J19" i="18" s="1"/>
  <c r="F14" i="18"/>
  <c r="B14" i="18"/>
  <c r="B19" i="18" s="1"/>
  <c r="P12" i="18"/>
  <c r="O12" i="18"/>
  <c r="L12" i="18"/>
  <c r="P34" i="18" s="1"/>
  <c r="K12" i="18"/>
  <c r="O34" i="18" s="1"/>
  <c r="N34" i="18" s="1"/>
  <c r="H12" i="18"/>
  <c r="G12" i="18"/>
  <c r="F12" i="18"/>
  <c r="D12" i="18"/>
  <c r="D5" i="18" s="1"/>
  <c r="C12" i="18"/>
  <c r="O38" i="18" s="1"/>
  <c r="N11" i="18"/>
  <c r="J11" i="18"/>
  <c r="F11" i="18"/>
  <c r="B11" i="18"/>
  <c r="N10" i="18"/>
  <c r="J10" i="18"/>
  <c r="F10" i="18"/>
  <c r="B10" i="18"/>
  <c r="N9" i="18"/>
  <c r="J9" i="18"/>
  <c r="F9" i="18"/>
  <c r="B9" i="18"/>
  <c r="N8" i="18"/>
  <c r="J8" i="18"/>
  <c r="F8" i="18"/>
  <c r="B8" i="18"/>
  <c r="N7" i="18"/>
  <c r="N12" i="18" s="1"/>
  <c r="J7" i="18"/>
  <c r="J12" i="18" s="1"/>
  <c r="F7" i="18"/>
  <c r="B7" i="18"/>
  <c r="B12" i="18" s="1"/>
  <c r="C5" i="18"/>
  <c r="N40" i="2"/>
  <c r="P26" i="2"/>
  <c r="L19" i="2"/>
  <c r="N40" i="18" l="1"/>
  <c r="B5" i="18"/>
  <c r="P44" i="18" s="1"/>
  <c r="N36" i="18"/>
  <c r="O35" i="18"/>
  <c r="P35" i="18"/>
  <c r="P43" i="18"/>
  <c r="P20" i="11"/>
  <c r="N20" i="11"/>
  <c r="P19" i="11"/>
  <c r="N19" i="11"/>
  <c r="P18" i="11"/>
  <c r="N18" i="11"/>
  <c r="P17" i="11"/>
  <c r="N17" i="11"/>
  <c r="P16" i="11"/>
  <c r="N16" i="11"/>
  <c r="P15" i="11"/>
  <c r="N15" i="11"/>
  <c r="P14" i="11"/>
  <c r="P13" i="11"/>
  <c r="N13" i="11"/>
  <c r="P12" i="11"/>
  <c r="P11" i="11"/>
  <c r="N11" i="11"/>
  <c r="P10" i="11"/>
  <c r="N10" i="11"/>
  <c r="O44" i="18" l="1"/>
  <c r="N39" i="18"/>
  <c r="N44" i="18" s="1"/>
  <c r="N38" i="18"/>
  <c r="N43" i="18" s="1"/>
  <c r="N45" i="18"/>
  <c r="O43" i="18"/>
  <c r="O45" i="18"/>
  <c r="N35" i="18"/>
  <c r="P45" i="18"/>
  <c r="C17" i="12" l="1"/>
  <c r="H34" i="11"/>
  <c r="D34" i="11"/>
  <c r="C34" i="11" s="1"/>
  <c r="H31" i="11"/>
  <c r="D31" i="11"/>
  <c r="C31" i="11"/>
  <c r="H28" i="11"/>
  <c r="C28" i="11" s="1"/>
  <c r="D28" i="11"/>
  <c r="L20" i="11"/>
  <c r="G20" i="11"/>
  <c r="L19" i="11"/>
  <c r="G19" i="11"/>
  <c r="J19" i="11" s="1"/>
  <c r="L18" i="11"/>
  <c r="J18" i="11"/>
  <c r="G18" i="11"/>
  <c r="L17" i="11"/>
  <c r="J17" i="11"/>
  <c r="G17" i="11"/>
  <c r="L16" i="11"/>
  <c r="G16" i="11"/>
  <c r="J16" i="11" s="1"/>
  <c r="G15" i="11"/>
  <c r="J15" i="11" s="1"/>
  <c r="J14" i="11"/>
  <c r="G14" i="11"/>
  <c r="L13" i="11"/>
  <c r="G13" i="11"/>
  <c r="L12" i="11"/>
  <c r="J12" i="11"/>
  <c r="G12" i="11"/>
  <c r="L11" i="11"/>
  <c r="G11" i="11"/>
  <c r="J11" i="11" s="1"/>
  <c r="L10" i="11"/>
  <c r="G10" i="11"/>
  <c r="J10" i="11" s="1"/>
  <c r="G13" i="15"/>
  <c r="X36" i="17" l="1"/>
  <c r="W36" i="17"/>
  <c r="V36" i="17"/>
  <c r="U36" i="17"/>
  <c r="T36" i="17"/>
  <c r="S36" i="17"/>
  <c r="R36" i="17"/>
  <c r="Q36" i="17"/>
  <c r="P36" i="17"/>
  <c r="O36" i="17"/>
  <c r="N36" i="17"/>
  <c r="L36" i="17"/>
  <c r="K36" i="17"/>
  <c r="J36" i="17"/>
  <c r="I36" i="17"/>
  <c r="H36" i="17"/>
  <c r="D36" i="17" s="1"/>
  <c r="G36" i="17"/>
  <c r="F36" i="17"/>
  <c r="D34" i="17"/>
  <c r="D33" i="17"/>
  <c r="X32" i="17"/>
  <c r="W32" i="17"/>
  <c r="W31" i="17" s="1"/>
  <c r="V32" i="17"/>
  <c r="V31" i="17" s="1"/>
  <c r="U32" i="17"/>
  <c r="T32" i="17"/>
  <c r="S32" i="17"/>
  <c r="S31" i="17" s="1"/>
  <c r="R32" i="17"/>
  <c r="R31" i="17" s="1"/>
  <c r="Q32" i="17"/>
  <c r="P32" i="17"/>
  <c r="O32" i="17"/>
  <c r="O31" i="17" s="1"/>
  <c r="N32" i="17"/>
  <c r="N31" i="17" s="1"/>
  <c r="L32" i="17"/>
  <c r="K32" i="17"/>
  <c r="J32" i="17"/>
  <c r="J31" i="17" s="1"/>
  <c r="I32" i="17"/>
  <c r="I31" i="17" s="1"/>
  <c r="H32" i="17"/>
  <c r="G32" i="17"/>
  <c r="F32" i="17"/>
  <c r="F31" i="17" s="1"/>
  <c r="D32" i="17"/>
  <c r="X31" i="17" s="1"/>
  <c r="L31" i="17"/>
  <c r="H31" i="17"/>
  <c r="D30" i="17"/>
  <c r="D29" i="17"/>
  <c r="X28" i="17"/>
  <c r="X27" i="17" s="1"/>
  <c r="W28" i="17"/>
  <c r="W27" i="17" s="1"/>
  <c r="V28" i="17"/>
  <c r="V27" i="17" s="1"/>
  <c r="U28" i="17"/>
  <c r="T28" i="17"/>
  <c r="T27" i="17" s="1"/>
  <c r="S28" i="17"/>
  <c r="S27" i="17" s="1"/>
  <c r="R28" i="17"/>
  <c r="R27" i="17" s="1"/>
  <c r="Q28" i="17"/>
  <c r="P28" i="17"/>
  <c r="P27" i="17" s="1"/>
  <c r="O28" i="17"/>
  <c r="O27" i="17" s="1"/>
  <c r="N28" i="17"/>
  <c r="N27" i="17" s="1"/>
  <c r="L28" i="17"/>
  <c r="K28" i="17"/>
  <c r="K27" i="17" s="1"/>
  <c r="J28" i="17"/>
  <c r="J27" i="17" s="1"/>
  <c r="I28" i="17"/>
  <c r="I27" i="17" s="1"/>
  <c r="H28" i="17"/>
  <c r="G28" i="17"/>
  <c r="G27" i="17" s="1"/>
  <c r="F28" i="17"/>
  <c r="F27" i="17" s="1"/>
  <c r="D28" i="17"/>
  <c r="U27" i="17" s="1"/>
  <c r="Q27" i="17"/>
  <c r="L27" i="17"/>
  <c r="H27" i="17"/>
  <c r="D26" i="17"/>
  <c r="D25" i="17"/>
  <c r="X24" i="17"/>
  <c r="X23" i="17" s="1"/>
  <c r="W24" i="17"/>
  <c r="V24" i="17"/>
  <c r="D24" i="17" s="1"/>
  <c r="U24" i="17"/>
  <c r="T24" i="17"/>
  <c r="T23" i="17" s="1"/>
  <c r="S24" i="17"/>
  <c r="R24" i="17"/>
  <c r="Q24" i="17"/>
  <c r="P24" i="17"/>
  <c r="P23" i="17" s="1"/>
  <c r="O24" i="17"/>
  <c r="N24" i="17"/>
  <c r="L24" i="17"/>
  <c r="K24" i="17"/>
  <c r="K23" i="17" s="1"/>
  <c r="J24" i="17"/>
  <c r="I24" i="17"/>
  <c r="I23" i="17" s="1"/>
  <c r="H24" i="17"/>
  <c r="G24" i="17"/>
  <c r="G23" i="17" s="1"/>
  <c r="F24" i="17"/>
  <c r="Q35" i="17" l="1"/>
  <c r="U35" i="17"/>
  <c r="N35" i="17"/>
  <c r="R35" i="17"/>
  <c r="V35" i="17"/>
  <c r="W35" i="17"/>
  <c r="S35" i="17"/>
  <c r="O35" i="17"/>
  <c r="K35" i="17"/>
  <c r="G35" i="17"/>
  <c r="M35" i="17"/>
  <c r="T35" i="17"/>
  <c r="L35" i="17"/>
  <c r="J35" i="17"/>
  <c r="F35" i="17"/>
  <c r="I35" i="17"/>
  <c r="X35" i="17"/>
  <c r="P35" i="17"/>
  <c r="H35" i="17"/>
  <c r="L23" i="17"/>
  <c r="U23" i="17"/>
  <c r="Q23" i="17"/>
  <c r="H23" i="17"/>
  <c r="N23" i="17"/>
  <c r="R23" i="17"/>
  <c r="F23" i="17"/>
  <c r="J23" i="17"/>
  <c r="O23" i="17"/>
  <c r="S23" i="17"/>
  <c r="W23" i="17"/>
  <c r="D27" i="17"/>
  <c r="Q31" i="17"/>
  <c r="U31" i="17"/>
  <c r="V23" i="17"/>
  <c r="G31" i="17"/>
  <c r="D31" i="17" s="1"/>
  <c r="K31" i="17"/>
  <c r="P31" i="17"/>
  <c r="T31" i="17"/>
  <c r="F24" i="10"/>
  <c r="G24" i="10"/>
  <c r="H24" i="10"/>
  <c r="I24" i="10"/>
  <c r="J24" i="10"/>
  <c r="K24" i="10"/>
  <c r="L24" i="10"/>
  <c r="N24" i="10"/>
  <c r="O24" i="10"/>
  <c r="P24" i="10"/>
  <c r="Q24" i="10"/>
  <c r="R24" i="10"/>
  <c r="S24" i="10"/>
  <c r="T24" i="10"/>
  <c r="U24" i="10"/>
  <c r="V24" i="10"/>
  <c r="W24" i="10"/>
  <c r="X24" i="10"/>
  <c r="D25" i="10"/>
  <c r="D26" i="10"/>
  <c r="F28" i="10"/>
  <c r="G28" i="10"/>
  <c r="H28" i="10"/>
  <c r="I28" i="10"/>
  <c r="J28" i="10"/>
  <c r="K28" i="10"/>
  <c r="L28" i="10"/>
  <c r="N28" i="10"/>
  <c r="O28" i="10"/>
  <c r="P28" i="10"/>
  <c r="Q28" i="10"/>
  <c r="R28" i="10"/>
  <c r="S28" i="10"/>
  <c r="T28" i="10"/>
  <c r="U28" i="10"/>
  <c r="V28" i="10"/>
  <c r="W28" i="10"/>
  <c r="X28" i="10"/>
  <c r="D29" i="10"/>
  <c r="D30" i="10"/>
  <c r="F32" i="10"/>
  <c r="G32" i="10"/>
  <c r="H32" i="10"/>
  <c r="I32" i="10"/>
  <c r="J32" i="10"/>
  <c r="K32" i="10"/>
  <c r="L32" i="10"/>
  <c r="N32" i="10"/>
  <c r="O32" i="10"/>
  <c r="P32" i="10"/>
  <c r="Q32" i="10"/>
  <c r="R32" i="10"/>
  <c r="S32" i="10"/>
  <c r="T32" i="10"/>
  <c r="U32" i="10"/>
  <c r="V32" i="10"/>
  <c r="W32" i="10"/>
  <c r="X32" i="10"/>
  <c r="D33" i="10"/>
  <c r="D34" i="10"/>
  <c r="D23" i="17" l="1"/>
  <c r="D35" i="17"/>
  <c r="T31" i="10"/>
  <c r="O31" i="10"/>
  <c r="D28" i="10"/>
  <c r="V27" i="10" s="1"/>
  <c r="D24" i="10"/>
  <c r="I23" i="10" s="1"/>
  <c r="D32" i="10"/>
  <c r="V31" i="10" s="1"/>
  <c r="B23" i="9"/>
  <c r="L22" i="9"/>
  <c r="K22" i="9"/>
  <c r="J22" i="9"/>
  <c r="J15" i="9" s="1"/>
  <c r="I22" i="9"/>
  <c r="H22" i="9"/>
  <c r="G22" i="9"/>
  <c r="F22" i="9"/>
  <c r="F15" i="9" s="1"/>
  <c r="E22" i="9"/>
  <c r="B22" i="9"/>
  <c r="L21" i="9"/>
  <c r="K21" i="9"/>
  <c r="K15" i="9" s="1"/>
  <c r="J21" i="9"/>
  <c r="I21" i="9"/>
  <c r="H21" i="9"/>
  <c r="G21" i="9"/>
  <c r="G15" i="9" s="1"/>
  <c r="F21" i="9"/>
  <c r="E21" i="9"/>
  <c r="B21" i="9"/>
  <c r="L20" i="9"/>
  <c r="L15" i="9" s="1"/>
  <c r="K20" i="9"/>
  <c r="J20" i="9"/>
  <c r="I20" i="9"/>
  <c r="H20" i="9"/>
  <c r="H15" i="9" s="1"/>
  <c r="G20" i="9"/>
  <c r="F20" i="9"/>
  <c r="E20" i="9"/>
  <c r="B20" i="9"/>
  <c r="B19" i="9"/>
  <c r="B18" i="9"/>
  <c r="B17" i="9"/>
  <c r="B16" i="9"/>
  <c r="B15" i="9" s="1"/>
  <c r="I15" i="9"/>
  <c r="E15" i="9"/>
  <c r="D15" i="9"/>
  <c r="C15" i="9"/>
  <c r="B13" i="9"/>
  <c r="K12" i="9"/>
  <c r="J12" i="9"/>
  <c r="I12" i="9"/>
  <c r="H12" i="9"/>
  <c r="H5" i="9" s="1"/>
  <c r="G12" i="9"/>
  <c r="F12" i="9"/>
  <c r="E12" i="9"/>
  <c r="D12" i="9"/>
  <c r="B12" i="9" s="1"/>
  <c r="C12" i="9"/>
  <c r="K11" i="9"/>
  <c r="J11" i="9"/>
  <c r="J5" i="9" s="1"/>
  <c r="I11" i="9"/>
  <c r="H11" i="9"/>
  <c r="G11" i="9"/>
  <c r="F11" i="9"/>
  <c r="E11" i="9"/>
  <c r="D11" i="9"/>
  <c r="C11" i="9"/>
  <c r="B11" i="9"/>
  <c r="J10" i="9"/>
  <c r="I10" i="9"/>
  <c r="H10" i="9"/>
  <c r="F10" i="9"/>
  <c r="F5" i="9" s="1"/>
  <c r="E10" i="9"/>
  <c r="D10" i="9"/>
  <c r="D5" i="9" s="1"/>
  <c r="C10" i="9"/>
  <c r="B10" i="9"/>
  <c r="B9" i="9"/>
  <c r="B8" i="9"/>
  <c r="B7" i="9"/>
  <c r="B6" i="9"/>
  <c r="B5" i="9" s="1"/>
  <c r="L5" i="9"/>
  <c r="K5" i="9"/>
  <c r="I5" i="9"/>
  <c r="G5" i="9"/>
  <c r="E5" i="9"/>
  <c r="C5" i="9"/>
  <c r="F31" i="10" l="1"/>
  <c r="K31" i="10"/>
  <c r="J31" i="10"/>
  <c r="I31" i="10"/>
  <c r="J27" i="10"/>
  <c r="O23" i="10"/>
  <c r="T23" i="10"/>
  <c r="P27" i="10"/>
  <c r="Q23" i="10"/>
  <c r="N23" i="10"/>
  <c r="H27" i="10"/>
  <c r="L27" i="10"/>
  <c r="Q27" i="10"/>
  <c r="U27" i="10"/>
  <c r="S23" i="10"/>
  <c r="O27" i="10"/>
  <c r="G23" i="10"/>
  <c r="X23" i="10"/>
  <c r="T27" i="10"/>
  <c r="P31" i="10"/>
  <c r="U23" i="10"/>
  <c r="R31" i="10"/>
  <c r="R23" i="10"/>
  <c r="N31" i="10"/>
  <c r="W23" i="10"/>
  <c r="S27" i="10"/>
  <c r="K23" i="10"/>
  <c r="G27" i="10"/>
  <c r="X27" i="10"/>
  <c r="H23" i="10"/>
  <c r="N27" i="10"/>
  <c r="W31" i="10"/>
  <c r="V23" i="10"/>
  <c r="F23" i="10"/>
  <c r="U31" i="10"/>
  <c r="H31" i="10"/>
  <c r="L31" i="10"/>
  <c r="Q31" i="10"/>
  <c r="J23" i="10"/>
  <c r="F27" i="10"/>
  <c r="W27" i="10"/>
  <c r="S31" i="10"/>
  <c r="P23" i="10"/>
  <c r="K27" i="10"/>
  <c r="G31" i="10"/>
  <c r="L23" i="10"/>
  <c r="R27" i="10"/>
  <c r="I27" i="10"/>
  <c r="X31" i="10"/>
  <c r="C41" i="8"/>
  <c r="F41" i="8" s="1"/>
  <c r="C39" i="8"/>
  <c r="F39" i="8" s="1"/>
  <c r="C37" i="8"/>
  <c r="F37" i="8" s="1"/>
  <c r="C35" i="8"/>
  <c r="F35" i="8" s="1"/>
  <c r="C33" i="8"/>
  <c r="F33" i="8" s="1"/>
  <c r="C31" i="8"/>
  <c r="F31" i="8" s="1"/>
  <c r="C29" i="8"/>
  <c r="F29" i="8" s="1"/>
  <c r="C27" i="8"/>
  <c r="F27" i="8" s="1"/>
  <c r="C25" i="8"/>
  <c r="F25" i="8" s="1"/>
  <c r="C23" i="8"/>
  <c r="F23" i="8" s="1"/>
  <c r="C21" i="8"/>
  <c r="F21" i="8" s="1"/>
  <c r="C19" i="8"/>
  <c r="F19" i="8" s="1"/>
  <c r="C17" i="8"/>
  <c r="C13" i="8"/>
  <c r="F13" i="8" s="1"/>
  <c r="F11" i="8"/>
  <c r="C11" i="8"/>
  <c r="D31" i="10" l="1"/>
  <c r="D27" i="10"/>
  <c r="D23" i="10"/>
  <c r="I47" i="19"/>
  <c r="E47" i="19"/>
  <c r="I46" i="19"/>
  <c r="E46" i="19"/>
  <c r="V45" i="19"/>
  <c r="T45" i="19"/>
  <c r="Q45" i="19"/>
  <c r="I45" i="19"/>
  <c r="E45" i="19"/>
  <c r="T44" i="19"/>
  <c r="V44" i="19" s="1"/>
  <c r="Q44" i="19"/>
  <c r="I44" i="19"/>
  <c r="E44" i="19"/>
  <c r="V43" i="19"/>
  <c r="T43" i="19"/>
  <c r="Q43" i="19"/>
  <c r="I43" i="19"/>
  <c r="E43" i="19"/>
  <c r="T42" i="19"/>
  <c r="V42" i="19" s="1"/>
  <c r="I42" i="19"/>
  <c r="E42" i="19"/>
  <c r="T41" i="19"/>
  <c r="V41" i="19" s="1"/>
  <c r="Q41" i="19"/>
  <c r="I41" i="19"/>
  <c r="E41" i="19"/>
  <c r="V40" i="19"/>
  <c r="T40" i="19"/>
  <c r="Q40" i="19"/>
  <c r="I40" i="19"/>
  <c r="E40" i="19"/>
  <c r="T39" i="19"/>
  <c r="V39" i="19" s="1"/>
  <c r="Q39" i="19"/>
  <c r="I39" i="19"/>
  <c r="E39" i="19"/>
  <c r="V38" i="19"/>
  <c r="T38" i="19"/>
  <c r="Q38" i="19"/>
  <c r="E38" i="19"/>
  <c r="V37" i="19"/>
  <c r="T37" i="19"/>
  <c r="Q37" i="19"/>
  <c r="I37" i="19"/>
  <c r="V36" i="19"/>
  <c r="T36" i="19"/>
  <c r="Q36" i="19"/>
  <c r="I36" i="19"/>
  <c r="E36" i="19"/>
  <c r="T35" i="19"/>
  <c r="V35" i="19" s="1"/>
  <c r="Q35" i="19"/>
  <c r="E35" i="19"/>
  <c r="T34" i="19"/>
  <c r="V34" i="19" s="1"/>
  <c r="Q34" i="19"/>
  <c r="E34" i="19"/>
  <c r="T33" i="19"/>
  <c r="V33" i="19" s="1"/>
  <c r="Q33" i="19"/>
  <c r="I33" i="19"/>
  <c r="T32" i="19"/>
  <c r="V32" i="19" s="1"/>
  <c r="Q32" i="19"/>
  <c r="I32" i="19"/>
  <c r="E32" i="19"/>
  <c r="T31" i="19"/>
  <c r="Q31" i="19"/>
  <c r="I31" i="19"/>
  <c r="E31" i="19"/>
  <c r="T23" i="19"/>
  <c r="O23" i="19"/>
  <c r="P23" i="19" s="1"/>
  <c r="T22" i="19"/>
  <c r="O22" i="19"/>
  <c r="P22" i="19" s="1"/>
  <c r="T21" i="19"/>
  <c r="O21" i="19"/>
  <c r="P21" i="19" s="1"/>
  <c r="T20" i="19"/>
  <c r="T19" i="19"/>
  <c r="O19" i="19"/>
  <c r="P19" i="19" s="1"/>
  <c r="T18" i="19"/>
  <c r="O18" i="19"/>
  <c r="P18" i="19" s="1"/>
  <c r="T17" i="19"/>
  <c r="O17" i="19"/>
  <c r="P17" i="19" s="1"/>
  <c r="T16" i="19"/>
  <c r="O16" i="19"/>
  <c r="P16" i="19" s="1"/>
  <c r="O15" i="19"/>
  <c r="P15" i="19" s="1"/>
  <c r="T14" i="19"/>
  <c r="O14" i="19"/>
  <c r="P14" i="19" s="1"/>
  <c r="T13" i="19"/>
  <c r="O13" i="19"/>
  <c r="P13" i="19" s="1"/>
  <c r="T12" i="19"/>
  <c r="O12" i="19"/>
  <c r="P12" i="19" s="1"/>
  <c r="T11" i="19"/>
  <c r="O11" i="19"/>
  <c r="P11" i="19" s="1"/>
  <c r="T10" i="19"/>
  <c r="O10" i="19"/>
  <c r="P10" i="19" s="1"/>
  <c r="P9" i="19"/>
  <c r="O9" i="19"/>
  <c r="P21" i="7"/>
  <c r="T41" i="7" l="1"/>
  <c r="T40" i="7"/>
  <c r="T42" i="7"/>
  <c r="V42" i="7" s="1"/>
  <c r="T39" i="7"/>
  <c r="T38" i="7"/>
  <c r="T37" i="7"/>
  <c r="T36" i="7"/>
  <c r="T35" i="7"/>
  <c r="T34" i="7"/>
  <c r="T33" i="7"/>
  <c r="T32" i="7"/>
  <c r="T31" i="7"/>
  <c r="V31" i="7" s="1"/>
  <c r="V32" i="7" l="1"/>
  <c r="V33" i="7"/>
  <c r="V34" i="7"/>
  <c r="V35" i="7"/>
  <c r="V36" i="7"/>
  <c r="V37" i="7"/>
  <c r="V38" i="7"/>
  <c r="V39" i="7"/>
  <c r="V40" i="7"/>
  <c r="V41" i="7"/>
  <c r="T43" i="7"/>
  <c r="V43" i="7" s="1"/>
  <c r="T44" i="7"/>
  <c r="V44" i="7" s="1"/>
  <c r="T45" i="7"/>
  <c r="V45" i="7" s="1"/>
  <c r="G22" i="14" l="1"/>
  <c r="B25" i="4" l="1"/>
  <c r="B24" i="4"/>
  <c r="B22" i="4"/>
  <c r="B14" i="4"/>
  <c r="B13" i="4"/>
  <c r="B11" i="4"/>
  <c r="B10" i="4"/>
  <c r="B9" i="4"/>
  <c r="L6" i="4"/>
  <c r="L10" i="4"/>
  <c r="L11" i="4"/>
  <c r="L12" i="4"/>
  <c r="L13" i="4"/>
  <c r="L14" i="4"/>
  <c r="L15" i="4"/>
  <c r="L16" i="4"/>
  <c r="L17" i="4"/>
  <c r="L18" i="4"/>
  <c r="L19" i="4"/>
  <c r="L20" i="4"/>
  <c r="L21" i="4"/>
  <c r="L22" i="4"/>
  <c r="L23" i="4"/>
  <c r="L24" i="4"/>
  <c r="L25" i="4"/>
  <c r="L26" i="4"/>
  <c r="L27" i="4"/>
  <c r="L9" i="4"/>
  <c r="K6" i="4"/>
  <c r="B23" i="4" l="1"/>
  <c r="B21" i="4"/>
  <c r="B20" i="4"/>
  <c r="B19" i="4"/>
  <c r="B18" i="4"/>
  <c r="B16" i="4"/>
  <c r="B15" i="4"/>
  <c r="B12" i="4"/>
  <c r="B8" i="4"/>
  <c r="B26" i="4"/>
  <c r="H81" i="20" l="1"/>
  <c r="G47" i="3" l="1"/>
  <c r="L47" i="2" l="1"/>
  <c r="K47" i="2"/>
  <c r="J46" i="2"/>
  <c r="J45" i="2"/>
  <c r="J44" i="2"/>
  <c r="J43" i="2"/>
  <c r="J42" i="2"/>
  <c r="L40" i="2"/>
  <c r="K40" i="2"/>
  <c r="J39" i="2"/>
  <c r="J38" i="2"/>
  <c r="J37" i="2"/>
  <c r="J36" i="2"/>
  <c r="J35" i="2"/>
  <c r="L33" i="2"/>
  <c r="K33" i="2"/>
  <c r="J32" i="2"/>
  <c r="J31" i="2"/>
  <c r="J30" i="2"/>
  <c r="J29" i="2"/>
  <c r="N28" i="2"/>
  <c r="J28" i="2"/>
  <c r="O26" i="2"/>
  <c r="L26" i="2"/>
  <c r="K26" i="2"/>
  <c r="N25" i="2"/>
  <c r="J25" i="2"/>
  <c r="N24" i="2"/>
  <c r="J24" i="2"/>
  <c r="N23" i="2"/>
  <c r="J23" i="2"/>
  <c r="N22" i="2"/>
  <c r="J22" i="2"/>
  <c r="N21" i="2"/>
  <c r="J21" i="2"/>
  <c r="P19" i="2"/>
  <c r="O19" i="2"/>
  <c r="K19" i="2"/>
  <c r="N18" i="2"/>
  <c r="J18" i="2"/>
  <c r="N17" i="2"/>
  <c r="J17" i="2"/>
  <c r="N16" i="2"/>
  <c r="J16" i="2"/>
  <c r="N15" i="2"/>
  <c r="J15" i="2"/>
  <c r="N14" i="2"/>
  <c r="J14" i="2"/>
  <c r="P12" i="2"/>
  <c r="O12" i="2"/>
  <c r="L12" i="2"/>
  <c r="K12" i="2"/>
  <c r="N11" i="2"/>
  <c r="J11" i="2"/>
  <c r="N10" i="2"/>
  <c r="J10" i="2"/>
  <c r="N9" i="2"/>
  <c r="J9" i="2"/>
  <c r="N8" i="2"/>
  <c r="J8" i="2"/>
  <c r="N7" i="2"/>
  <c r="J7" i="2"/>
  <c r="N12" i="2" l="1"/>
  <c r="J26" i="2"/>
  <c r="J12" i="2"/>
  <c r="J47" i="2"/>
  <c r="J40" i="2"/>
  <c r="J33" i="2"/>
  <c r="N26" i="2"/>
  <c r="O35" i="2"/>
  <c r="N19" i="2"/>
  <c r="J19" i="2"/>
  <c r="P40" i="2"/>
  <c r="P36" i="2"/>
  <c r="P34" i="2"/>
  <c r="P35" i="2"/>
  <c r="O40" i="2"/>
  <c r="O36" i="2"/>
  <c r="O34" i="2"/>
  <c r="F34" i="3"/>
  <c r="F19" i="3"/>
  <c r="F17" i="3"/>
  <c r="F15" i="3"/>
  <c r="F11" i="3"/>
  <c r="F9" i="3"/>
  <c r="F8" i="3"/>
  <c r="N34" i="2" l="1"/>
  <c r="N35" i="2"/>
  <c r="N36" i="2"/>
  <c r="B43" i="14"/>
  <c r="B42" i="14"/>
  <c r="H39" i="21"/>
  <c r="E39" i="21"/>
  <c r="H38" i="21"/>
  <c r="E38" i="21"/>
  <c r="H37" i="21"/>
  <c r="E37" i="21"/>
  <c r="C37" i="21" s="1"/>
  <c r="H36" i="21"/>
  <c r="E36" i="21"/>
  <c r="H35" i="21"/>
  <c r="E35" i="21"/>
  <c r="C35" i="21" s="1"/>
  <c r="H34" i="21"/>
  <c r="E34" i="21"/>
  <c r="H33" i="21"/>
  <c r="E33" i="21"/>
  <c r="H32" i="21"/>
  <c r="E32" i="21"/>
  <c r="H31" i="21"/>
  <c r="E31" i="21"/>
  <c r="C31" i="21" s="1"/>
  <c r="H30" i="21"/>
  <c r="E30" i="21"/>
  <c r="H29" i="21"/>
  <c r="E29" i="21"/>
  <c r="H28" i="21"/>
  <c r="E28" i="21"/>
  <c r="H27" i="21"/>
  <c r="E27" i="21"/>
  <c r="C27" i="21" s="1"/>
  <c r="H26" i="21"/>
  <c r="E26" i="21"/>
  <c r="H25" i="21"/>
  <c r="E25" i="21"/>
  <c r="F41" i="21"/>
  <c r="I104" i="20" s="1"/>
  <c r="H45" i="14"/>
  <c r="E45" i="14"/>
  <c r="B45" i="14"/>
  <c r="H44" i="14"/>
  <c r="E44" i="14"/>
  <c r="B44" i="14"/>
  <c r="H43" i="14"/>
  <c r="H42" i="14"/>
  <c r="E42" i="14"/>
  <c r="H41" i="14"/>
  <c r="E41" i="14"/>
  <c r="B41" i="14"/>
  <c r="H40" i="14"/>
  <c r="E40" i="14"/>
  <c r="B40" i="14"/>
  <c r="H39" i="14"/>
  <c r="E39" i="14"/>
  <c r="B39" i="14"/>
  <c r="H38" i="14"/>
  <c r="E38" i="14"/>
  <c r="B38" i="14"/>
  <c r="H37" i="14"/>
  <c r="E37" i="14"/>
  <c r="B37" i="14"/>
  <c r="I6" i="14"/>
  <c r="C29" i="14"/>
  <c r="C28" i="14"/>
  <c r="C27" i="14"/>
  <c r="C26" i="14"/>
  <c r="C25" i="14"/>
  <c r="C24" i="14"/>
  <c r="C23" i="14"/>
  <c r="C22" i="14"/>
  <c r="C21" i="14"/>
  <c r="I21" i="14" s="1"/>
  <c r="C14" i="14"/>
  <c r="G14" i="14" s="1"/>
  <c r="I14" i="14" s="1"/>
  <c r="G13" i="14"/>
  <c r="I13" i="14" s="1"/>
  <c r="F13" i="14"/>
  <c r="G12" i="14"/>
  <c r="I12" i="14" s="1"/>
  <c r="F12" i="14"/>
  <c r="G11" i="14"/>
  <c r="I11" i="14" s="1"/>
  <c r="F11" i="14"/>
  <c r="I10" i="14"/>
  <c r="G10" i="14"/>
  <c r="F10" i="14"/>
  <c r="G9" i="14"/>
  <c r="I9" i="14" s="1"/>
  <c r="F9" i="14"/>
  <c r="G8" i="14"/>
  <c r="I8" i="14" s="1"/>
  <c r="F8" i="14"/>
  <c r="G7" i="14"/>
  <c r="I7" i="14" s="1"/>
  <c r="F7" i="14"/>
  <c r="F6" i="14"/>
  <c r="H5" i="20"/>
  <c r="L95" i="20"/>
  <c r="L96" i="20"/>
  <c r="L97" i="20"/>
  <c r="L98" i="20"/>
  <c r="L99" i="20"/>
  <c r="L100" i="20"/>
  <c r="L101" i="20"/>
  <c r="L102" i="20"/>
  <c r="L103" i="20"/>
  <c r="L94" i="20"/>
  <c r="K95" i="20"/>
  <c r="K96" i="20"/>
  <c r="K97" i="20"/>
  <c r="K98" i="20"/>
  <c r="K99" i="20"/>
  <c r="K100" i="20"/>
  <c r="K101" i="20"/>
  <c r="K102" i="20"/>
  <c r="K103" i="20"/>
  <c r="K94" i="20"/>
  <c r="J95" i="20"/>
  <c r="J96" i="20"/>
  <c r="J97" i="20"/>
  <c r="J98" i="20"/>
  <c r="J99" i="20"/>
  <c r="J100" i="20"/>
  <c r="J101" i="20"/>
  <c r="J102" i="20"/>
  <c r="J103" i="20"/>
  <c r="J94" i="20"/>
  <c r="I95" i="20"/>
  <c r="I96" i="20"/>
  <c r="I97" i="20"/>
  <c r="I98" i="20"/>
  <c r="I99" i="20"/>
  <c r="I100" i="20"/>
  <c r="I101" i="20"/>
  <c r="I102" i="20"/>
  <c r="I103" i="20"/>
  <c r="I94" i="20"/>
  <c r="H94" i="20"/>
  <c r="J6" i="20"/>
  <c r="J7" i="20"/>
  <c r="J8" i="20"/>
  <c r="J9" i="20"/>
  <c r="J10" i="20"/>
  <c r="J11" i="20"/>
  <c r="J12" i="20"/>
  <c r="J13" i="20"/>
  <c r="J14" i="20"/>
  <c r="J5" i="20"/>
  <c r="L5" i="20" s="1"/>
  <c r="I6" i="20"/>
  <c r="I7" i="20"/>
  <c r="I8" i="20"/>
  <c r="I9" i="20"/>
  <c r="I10" i="20"/>
  <c r="I11" i="20"/>
  <c r="I12" i="20"/>
  <c r="I13" i="20"/>
  <c r="I14" i="20"/>
  <c r="I5" i="20"/>
  <c r="H6" i="20"/>
  <c r="H7" i="20"/>
  <c r="H8" i="20"/>
  <c r="H9" i="20"/>
  <c r="H10" i="20"/>
  <c r="H11" i="20"/>
  <c r="H12" i="20"/>
  <c r="H13" i="20"/>
  <c r="H14" i="20"/>
  <c r="I18" i="20"/>
  <c r="I19" i="20"/>
  <c r="I20" i="20"/>
  <c r="I21" i="20"/>
  <c r="I22" i="20"/>
  <c r="I23" i="20"/>
  <c r="I24" i="20"/>
  <c r="I25" i="20"/>
  <c r="I26" i="20"/>
  <c r="I27" i="20"/>
  <c r="I28" i="20"/>
  <c r="I29" i="20"/>
  <c r="I30" i="20"/>
  <c r="I17" i="20"/>
  <c r="G23" i="14" l="1"/>
  <c r="I23" i="14" s="1"/>
  <c r="G27" i="14"/>
  <c r="I27" i="14" s="1"/>
  <c r="G25" i="14"/>
  <c r="I25" i="14" s="1"/>
  <c r="G29" i="14"/>
  <c r="I29" i="14" s="1"/>
  <c r="L11" i="20"/>
  <c r="L7" i="20"/>
  <c r="M8" i="20" s="1"/>
  <c r="K8" i="20" s="1"/>
  <c r="F14" i="14"/>
  <c r="L13" i="20"/>
  <c r="L9" i="20"/>
  <c r="C28" i="21"/>
  <c r="C30" i="21"/>
  <c r="C32" i="21"/>
  <c r="C36" i="21"/>
  <c r="C38" i="21"/>
  <c r="C39" i="21"/>
  <c r="C26" i="21"/>
  <c r="C34" i="21"/>
  <c r="I22" i="14"/>
  <c r="G24" i="14"/>
  <c r="I24" i="14" s="1"/>
  <c r="G26" i="14"/>
  <c r="I26" i="14" s="1"/>
  <c r="G28" i="14"/>
  <c r="I28" i="14" s="1"/>
  <c r="F22" i="14"/>
  <c r="F24" i="14"/>
  <c r="F26" i="14"/>
  <c r="F28" i="14"/>
  <c r="C29" i="21"/>
  <c r="L10" i="20"/>
  <c r="M10" i="20" s="1"/>
  <c r="K10" i="20" s="1"/>
  <c r="L8" i="20"/>
  <c r="J83" i="20"/>
  <c r="F21" i="14"/>
  <c r="F23" i="14"/>
  <c r="F25" i="14"/>
  <c r="F27" i="14"/>
  <c r="F29" i="14"/>
  <c r="C25" i="21"/>
  <c r="C33" i="21"/>
  <c r="M9" i="20"/>
  <c r="K9" i="20" s="1"/>
  <c r="L12" i="20"/>
  <c r="M12" i="20" s="1"/>
  <c r="K12" i="20" s="1"/>
  <c r="L6" i="20"/>
  <c r="M6" i="20" s="1"/>
  <c r="K6" i="20" s="1"/>
  <c r="I9" i="4"/>
  <c r="G6" i="6"/>
  <c r="C4" i="6"/>
  <c r="K16" i="6" s="1"/>
  <c r="J41" i="21"/>
  <c r="L104" i="20" s="1"/>
  <c r="I41" i="21"/>
  <c r="G41" i="21"/>
  <c r="J104" i="20" s="1"/>
  <c r="K41" i="21"/>
  <c r="L41" i="21"/>
  <c r="H44" i="21"/>
  <c r="H45" i="21"/>
  <c r="H46" i="21"/>
  <c r="H47" i="21"/>
  <c r="H48" i="21"/>
  <c r="H49" i="21"/>
  <c r="H50" i="21"/>
  <c r="H51" i="21"/>
  <c r="H52" i="21"/>
  <c r="H53" i="21"/>
  <c r="H54" i="21"/>
  <c r="H43" i="21"/>
  <c r="E44" i="21"/>
  <c r="E45" i="21"/>
  <c r="E46" i="21"/>
  <c r="C46" i="21" s="1"/>
  <c r="E47" i="21"/>
  <c r="E48" i="21"/>
  <c r="C48" i="21" s="1"/>
  <c r="E49" i="21"/>
  <c r="C49" i="21" s="1"/>
  <c r="E50" i="21"/>
  <c r="C50" i="21" s="1"/>
  <c r="E51" i="21"/>
  <c r="E52" i="21"/>
  <c r="E53" i="21"/>
  <c r="C53" i="21" s="1"/>
  <c r="E54" i="21"/>
  <c r="C54" i="21" s="1"/>
  <c r="E43" i="21"/>
  <c r="C15" i="14"/>
  <c r="E47" i="3"/>
  <c r="F48" i="3"/>
  <c r="I48" i="3" s="1"/>
  <c r="F49" i="3"/>
  <c r="F50" i="3"/>
  <c r="I50" i="3" s="1"/>
  <c r="F51" i="3"/>
  <c r="I51" i="3" s="1"/>
  <c r="F52" i="3"/>
  <c r="I52" i="3" s="1"/>
  <c r="F53" i="3"/>
  <c r="F54" i="3"/>
  <c r="I54" i="3" s="1"/>
  <c r="F55" i="3"/>
  <c r="I55" i="3" s="1"/>
  <c r="F40" i="3"/>
  <c r="I40" i="3" s="1"/>
  <c r="F41" i="3"/>
  <c r="F42" i="3"/>
  <c r="I42" i="3" s="1"/>
  <c r="F43" i="3"/>
  <c r="I43" i="3" s="1"/>
  <c r="F44" i="3"/>
  <c r="F45" i="3"/>
  <c r="I45" i="3" s="1"/>
  <c r="F46" i="3"/>
  <c r="I34" i="3"/>
  <c r="F35" i="3"/>
  <c r="F36" i="3"/>
  <c r="I36" i="3" s="1"/>
  <c r="F37" i="3"/>
  <c r="I37" i="3" s="1"/>
  <c r="F38" i="3"/>
  <c r="I38" i="3" s="1"/>
  <c r="F29" i="3"/>
  <c r="I29" i="3" s="1"/>
  <c r="F30" i="3"/>
  <c r="F31" i="3"/>
  <c r="F32" i="3"/>
  <c r="I32" i="3" s="1"/>
  <c r="F23" i="3"/>
  <c r="I23" i="3" s="1"/>
  <c r="F24" i="3"/>
  <c r="I24" i="3" s="1"/>
  <c r="F25" i="3"/>
  <c r="I26" i="3"/>
  <c r="F27" i="3"/>
  <c r="I27" i="3" s="1"/>
  <c r="F43" i="2"/>
  <c r="F44" i="2"/>
  <c r="F45" i="2"/>
  <c r="F46" i="2"/>
  <c r="F42" i="2"/>
  <c r="F36" i="2"/>
  <c r="F37" i="2"/>
  <c r="F38" i="2"/>
  <c r="F39" i="2"/>
  <c r="F35" i="2"/>
  <c r="F29" i="2"/>
  <c r="F30" i="2"/>
  <c r="F31" i="2"/>
  <c r="F32" i="2"/>
  <c r="F28" i="2"/>
  <c r="F22" i="2"/>
  <c r="F23" i="2"/>
  <c r="F24" i="2"/>
  <c r="F25" i="2"/>
  <c r="F21" i="2"/>
  <c r="F15" i="2"/>
  <c r="F16" i="2"/>
  <c r="F17" i="2"/>
  <c r="F18" i="2"/>
  <c r="F14" i="2"/>
  <c r="F8" i="2"/>
  <c r="F9" i="2"/>
  <c r="F10" i="2"/>
  <c r="F11" i="2"/>
  <c r="F7" i="2"/>
  <c r="B43" i="2"/>
  <c r="B44" i="2"/>
  <c r="B45" i="2"/>
  <c r="B46" i="2"/>
  <c r="B42" i="2"/>
  <c r="B36" i="2"/>
  <c r="B37" i="2"/>
  <c r="B38" i="2"/>
  <c r="B39" i="2"/>
  <c r="B35" i="2"/>
  <c r="B29" i="2"/>
  <c r="B30" i="2"/>
  <c r="B31" i="2"/>
  <c r="B32" i="2"/>
  <c r="B28" i="2"/>
  <c r="B22" i="2"/>
  <c r="B23" i="2"/>
  <c r="B24" i="2"/>
  <c r="B25" i="2"/>
  <c r="B21" i="2"/>
  <c r="B15" i="2"/>
  <c r="B16" i="2"/>
  <c r="B17" i="2"/>
  <c r="B18" i="2"/>
  <c r="B14" i="2"/>
  <c r="B8" i="2"/>
  <c r="B9" i="2"/>
  <c r="B10" i="2"/>
  <c r="B11" i="2"/>
  <c r="B7" i="2"/>
  <c r="C30" i="14"/>
  <c r="F30" i="14" s="1"/>
  <c r="H46" i="14"/>
  <c r="E46" i="14"/>
  <c r="B46" i="14"/>
  <c r="G30" i="14"/>
  <c r="I30" i="14" s="1"/>
  <c r="K4" i="21"/>
  <c r="J4" i="21"/>
  <c r="I4" i="21"/>
  <c r="H4" i="21"/>
  <c r="G4" i="21"/>
  <c r="F4" i="21"/>
  <c r="E4" i="21"/>
  <c r="Q45" i="7"/>
  <c r="I47" i="7"/>
  <c r="I46" i="7"/>
  <c r="I45" i="7"/>
  <c r="I44" i="7"/>
  <c r="I43" i="7"/>
  <c r="Q39" i="7"/>
  <c r="I42" i="7"/>
  <c r="I41" i="7"/>
  <c r="I40" i="7"/>
  <c r="I39" i="7"/>
  <c r="I37" i="7"/>
  <c r="I36" i="7"/>
  <c r="I33" i="7"/>
  <c r="I32" i="7"/>
  <c r="Q31" i="7"/>
  <c r="I31" i="7"/>
  <c r="O23" i="7"/>
  <c r="P23" i="7" s="1"/>
  <c r="O17" i="7"/>
  <c r="P17" i="7" s="1"/>
  <c r="O13" i="7"/>
  <c r="P13" i="7" s="1"/>
  <c r="I26" i="4"/>
  <c r="I17" i="4"/>
  <c r="C26" i="2"/>
  <c r="X36" i="10"/>
  <c r="W36" i="10"/>
  <c r="V36" i="10"/>
  <c r="U36" i="10"/>
  <c r="T36" i="10"/>
  <c r="S36" i="10"/>
  <c r="R36" i="10"/>
  <c r="Q36" i="10"/>
  <c r="P36" i="10"/>
  <c r="O36" i="10"/>
  <c r="N36" i="10"/>
  <c r="C33" i="2"/>
  <c r="C19" i="2"/>
  <c r="C12" i="2"/>
  <c r="L3" i="20"/>
  <c r="M5" i="20" s="1"/>
  <c r="K5" i="20" s="1"/>
  <c r="L14" i="20"/>
  <c r="K134" i="20"/>
  <c r="K133" i="20"/>
  <c r="K132" i="20"/>
  <c r="K131" i="20"/>
  <c r="K130" i="20"/>
  <c r="K129" i="20"/>
  <c r="K128" i="20"/>
  <c r="K127" i="20"/>
  <c r="K126" i="20"/>
  <c r="K125" i="20"/>
  <c r="J134" i="20"/>
  <c r="J133" i="20"/>
  <c r="J132" i="20"/>
  <c r="J131" i="20"/>
  <c r="J130" i="20"/>
  <c r="J129" i="20"/>
  <c r="J128" i="20"/>
  <c r="J127" i="20"/>
  <c r="J126" i="20"/>
  <c r="J125" i="20"/>
  <c r="I134" i="20"/>
  <c r="I133" i="20"/>
  <c r="I132" i="20"/>
  <c r="I131" i="20"/>
  <c r="I130" i="20"/>
  <c r="I129" i="20"/>
  <c r="I128" i="20"/>
  <c r="I127" i="20"/>
  <c r="I126" i="20"/>
  <c r="I125" i="20"/>
  <c r="K198" i="20"/>
  <c r="K197" i="20"/>
  <c r="I198" i="20"/>
  <c r="J198" i="20"/>
  <c r="J197" i="20"/>
  <c r="I197" i="20"/>
  <c r="K188" i="20"/>
  <c r="K187" i="20"/>
  <c r="J189" i="20"/>
  <c r="J188" i="20"/>
  <c r="J187" i="20"/>
  <c r="I189" i="20"/>
  <c r="I188" i="20"/>
  <c r="I187" i="20"/>
  <c r="L49" i="6"/>
  <c r="N42" i="6" s="1"/>
  <c r="H27" i="4"/>
  <c r="H24" i="4"/>
  <c r="H23" i="4"/>
  <c r="H22" i="4"/>
  <c r="H21" i="4"/>
  <c r="H20" i="4"/>
  <c r="H19" i="4"/>
  <c r="H18" i="4"/>
  <c r="H16" i="4"/>
  <c r="H15" i="4"/>
  <c r="H14" i="4"/>
  <c r="H13" i="4"/>
  <c r="H12" i="4"/>
  <c r="H11" i="4"/>
  <c r="H9" i="4"/>
  <c r="C6" i="4"/>
  <c r="E6" i="4"/>
  <c r="E7" i="3"/>
  <c r="E22" i="3"/>
  <c r="E28" i="3"/>
  <c r="E33" i="3"/>
  <c r="E39" i="3"/>
  <c r="F13" i="3"/>
  <c r="I13" i="3" s="1"/>
  <c r="G7" i="3"/>
  <c r="G22" i="3"/>
  <c r="G28" i="3"/>
  <c r="G33" i="3"/>
  <c r="G39" i="3"/>
  <c r="H7" i="3"/>
  <c r="H22" i="3"/>
  <c r="H28" i="3"/>
  <c r="H33" i="3"/>
  <c r="H39" i="3"/>
  <c r="H47" i="3"/>
  <c r="H34" i="15"/>
  <c r="D34" i="15"/>
  <c r="C34" i="15" s="1"/>
  <c r="H31" i="15"/>
  <c r="D31" i="15"/>
  <c r="C31" i="15" s="1"/>
  <c r="H28" i="15"/>
  <c r="D28" i="15"/>
  <c r="C6" i="12"/>
  <c r="C7" i="12"/>
  <c r="C9" i="12"/>
  <c r="C10" i="12"/>
  <c r="C11" i="12"/>
  <c r="C12" i="12"/>
  <c r="C13" i="12"/>
  <c r="C14" i="12"/>
  <c r="C15" i="12"/>
  <c r="C16" i="12"/>
  <c r="C18" i="12"/>
  <c r="G25" i="12"/>
  <c r="G26" i="12"/>
  <c r="G27" i="12"/>
  <c r="G28" i="12"/>
  <c r="G29" i="12"/>
  <c r="G30" i="12"/>
  <c r="G31" i="12"/>
  <c r="G32" i="12"/>
  <c r="I157" i="20"/>
  <c r="J157" i="20" s="1"/>
  <c r="I156" i="20"/>
  <c r="J156" i="20" s="1"/>
  <c r="G10" i="15"/>
  <c r="G11" i="15"/>
  <c r="G12" i="15"/>
  <c r="G14" i="15"/>
  <c r="G15" i="15"/>
  <c r="G16" i="15"/>
  <c r="G17" i="15"/>
  <c r="G18" i="15"/>
  <c r="G19" i="15"/>
  <c r="G20" i="15"/>
  <c r="K189" i="20"/>
  <c r="F36" i="10"/>
  <c r="G36" i="10"/>
  <c r="H36" i="10"/>
  <c r="I36" i="10"/>
  <c r="J36" i="10"/>
  <c r="K36" i="10"/>
  <c r="L36" i="10"/>
  <c r="C25" i="9"/>
  <c r="D25" i="9"/>
  <c r="E25" i="9"/>
  <c r="H25" i="9"/>
  <c r="K25" i="9"/>
  <c r="G25" i="9"/>
  <c r="J25" i="9"/>
  <c r="F25" i="9"/>
  <c r="I25" i="9"/>
  <c r="E39" i="9"/>
  <c r="G39" i="9"/>
  <c r="H39" i="9"/>
  <c r="I39" i="9"/>
  <c r="J39" i="9"/>
  <c r="K39" i="9"/>
  <c r="L39" i="9"/>
  <c r="F41" i="9"/>
  <c r="F42" i="9"/>
  <c r="F43" i="9"/>
  <c r="F44" i="9"/>
  <c r="F45" i="9"/>
  <c r="F46" i="9"/>
  <c r="F47" i="9"/>
  <c r="H13" i="8"/>
  <c r="H27" i="8"/>
  <c r="Q32" i="7"/>
  <c r="T11" i="7"/>
  <c r="Q34" i="7"/>
  <c r="Q35" i="7"/>
  <c r="O14" i="7"/>
  <c r="P14" i="7" s="1"/>
  <c r="Q37" i="7"/>
  <c r="T16" i="7"/>
  <c r="T17" i="7"/>
  <c r="Q40" i="7"/>
  <c r="T19" i="7"/>
  <c r="T20" i="7"/>
  <c r="Q43" i="7"/>
  <c r="T22" i="7"/>
  <c r="T23" i="7"/>
  <c r="E31" i="7"/>
  <c r="E32" i="7"/>
  <c r="E34" i="7"/>
  <c r="E35" i="7"/>
  <c r="E36" i="7"/>
  <c r="E38" i="7"/>
  <c r="E39" i="7"/>
  <c r="E40" i="7"/>
  <c r="E41" i="7"/>
  <c r="E42" i="7"/>
  <c r="E43" i="7"/>
  <c r="E44" i="7"/>
  <c r="E45" i="7"/>
  <c r="E46" i="7"/>
  <c r="E47" i="7"/>
  <c r="E4" i="6"/>
  <c r="G7" i="6"/>
  <c r="G9" i="6"/>
  <c r="G8" i="6"/>
  <c r="G10" i="6"/>
  <c r="G11" i="6"/>
  <c r="G12" i="6"/>
  <c r="G13" i="6"/>
  <c r="G14" i="6"/>
  <c r="G15" i="6"/>
  <c r="G18" i="6"/>
  <c r="G19" i="6"/>
  <c r="G20" i="6"/>
  <c r="G21" i="6"/>
  <c r="G22" i="6"/>
  <c r="G23" i="6"/>
  <c r="G24" i="6"/>
  <c r="G25" i="6"/>
  <c r="G26" i="6"/>
  <c r="G27" i="6"/>
  <c r="G28" i="6"/>
  <c r="G29" i="6"/>
  <c r="G30" i="6"/>
  <c r="G31" i="6"/>
  <c r="N4" i="6"/>
  <c r="N5" i="6"/>
  <c r="N6" i="6"/>
  <c r="N7" i="6"/>
  <c r="N8" i="6"/>
  <c r="N9" i="6"/>
  <c r="N10" i="6"/>
  <c r="N11" i="6"/>
  <c r="N12" i="6"/>
  <c r="N13" i="6"/>
  <c r="N14" i="6"/>
  <c r="N15" i="6"/>
  <c r="N16" i="6"/>
  <c r="N17" i="6"/>
  <c r="N18" i="6"/>
  <c r="N19" i="6"/>
  <c r="C16" i="6"/>
  <c r="E16" i="6"/>
  <c r="J20" i="6"/>
  <c r="L20" i="6"/>
  <c r="E49" i="6"/>
  <c r="G38" i="6" s="1"/>
  <c r="D6" i="4"/>
  <c r="F9" i="4"/>
  <c r="F10" i="4"/>
  <c r="G10" i="4" s="1"/>
  <c r="I10" i="4"/>
  <c r="F11" i="4"/>
  <c r="G11" i="4" s="1"/>
  <c r="I11" i="4"/>
  <c r="F12" i="4"/>
  <c r="G12" i="4" s="1"/>
  <c r="I12" i="4"/>
  <c r="F13" i="4"/>
  <c r="I13" i="4"/>
  <c r="F14" i="4"/>
  <c r="G14" i="4" s="1"/>
  <c r="I14" i="4"/>
  <c r="F15" i="4"/>
  <c r="G15" i="4" s="1"/>
  <c r="I15" i="4"/>
  <c r="F16" i="4"/>
  <c r="G16" i="4" s="1"/>
  <c r="I16" i="4"/>
  <c r="F18" i="4"/>
  <c r="G18" i="4" s="1"/>
  <c r="I18" i="4"/>
  <c r="F19" i="4"/>
  <c r="G19" i="4" s="1"/>
  <c r="I19" i="4"/>
  <c r="F20" i="4"/>
  <c r="G20" i="4" s="1"/>
  <c r="I20" i="4"/>
  <c r="F21" i="4"/>
  <c r="G21" i="4" s="1"/>
  <c r="I21" i="4"/>
  <c r="F22" i="4"/>
  <c r="G22" i="4" s="1"/>
  <c r="I22" i="4"/>
  <c r="F23" i="4"/>
  <c r="G23" i="4" s="1"/>
  <c r="I23" i="4"/>
  <c r="F24" i="4"/>
  <c r="G24" i="4" s="1"/>
  <c r="I24" i="4"/>
  <c r="F25" i="4"/>
  <c r="G25" i="4" s="1"/>
  <c r="I25" i="4"/>
  <c r="F27" i="4"/>
  <c r="G27" i="4" s="1"/>
  <c r="I27" i="4"/>
  <c r="F28" i="4"/>
  <c r="G28" i="4" s="1"/>
  <c r="I28" i="4"/>
  <c r="I8" i="3"/>
  <c r="I9" i="3"/>
  <c r="F10" i="3"/>
  <c r="I11" i="3"/>
  <c r="F12" i="3"/>
  <c r="I12" i="3" s="1"/>
  <c r="I15" i="3"/>
  <c r="F16" i="3"/>
  <c r="I16" i="3" s="1"/>
  <c r="I17" i="3"/>
  <c r="F18" i="3"/>
  <c r="I19" i="3"/>
  <c r="F20" i="3"/>
  <c r="I20" i="3" s="1"/>
  <c r="C40" i="2"/>
  <c r="C47" i="2"/>
  <c r="G12" i="2"/>
  <c r="G19" i="2"/>
  <c r="G26" i="2"/>
  <c r="G33" i="2"/>
  <c r="G40" i="2"/>
  <c r="G47" i="2"/>
  <c r="D12" i="2"/>
  <c r="D19" i="2"/>
  <c r="D26" i="2"/>
  <c r="D33" i="2"/>
  <c r="D40" i="2"/>
  <c r="D47" i="2"/>
  <c r="H12" i="2"/>
  <c r="H19" i="2"/>
  <c r="H26" i="2"/>
  <c r="H33" i="2"/>
  <c r="H40" i="2"/>
  <c r="H47" i="2"/>
  <c r="H15" i="8"/>
  <c r="F43" i="8"/>
  <c r="H41" i="8"/>
  <c r="H26" i="4"/>
  <c r="C51" i="21" l="1"/>
  <c r="C47" i="21"/>
  <c r="C44" i="21"/>
  <c r="O38" i="2"/>
  <c r="C28" i="15"/>
  <c r="D36" i="10"/>
  <c r="P35" i="10" s="1"/>
  <c r="F19" i="2"/>
  <c r="P38" i="2"/>
  <c r="N38" i="2" s="1"/>
  <c r="P39" i="2"/>
  <c r="P33" i="2"/>
  <c r="P32" i="2"/>
  <c r="O33" i="2"/>
  <c r="O39" i="2"/>
  <c r="N39" i="2" s="1"/>
  <c r="O32" i="2"/>
  <c r="H6" i="4"/>
  <c r="C52" i="21"/>
  <c r="I6" i="4"/>
  <c r="T18" i="7"/>
  <c r="F15" i="14"/>
  <c r="G15" i="14"/>
  <c r="I15" i="14" s="1"/>
  <c r="H23" i="8"/>
  <c r="H31" i="8"/>
  <c r="L25" i="9"/>
  <c r="O9" i="7"/>
  <c r="P9" i="7" s="1"/>
  <c r="O12" i="7"/>
  <c r="P12" i="7" s="1"/>
  <c r="T13" i="7"/>
  <c r="O16" i="7"/>
  <c r="P16" i="7" s="1"/>
  <c r="O22" i="7"/>
  <c r="P22" i="7" s="1"/>
  <c r="Q33" i="7"/>
  <c r="Q36" i="7"/>
  <c r="Q38" i="7"/>
  <c r="Q41" i="7"/>
  <c r="Q44" i="7"/>
  <c r="M11" i="20"/>
  <c r="K11" i="20" s="1"/>
  <c r="T10" i="7"/>
  <c r="T14" i="7"/>
  <c r="H29" i="8"/>
  <c r="O11" i="7"/>
  <c r="P11" i="7" s="1"/>
  <c r="T12" i="7"/>
  <c r="O15" i="7"/>
  <c r="P15" i="7" s="1"/>
  <c r="O19" i="7"/>
  <c r="P19" i="7" s="1"/>
  <c r="O21" i="7"/>
  <c r="H33" i="8"/>
  <c r="C39" i="9"/>
  <c r="F39" i="9"/>
  <c r="B25" i="9"/>
  <c r="O10" i="7"/>
  <c r="P10" i="7" s="1"/>
  <c r="T15" i="7"/>
  <c r="O18" i="7"/>
  <c r="P18" i="7" s="1"/>
  <c r="T21" i="7"/>
  <c r="C45" i="21"/>
  <c r="N20" i="6"/>
  <c r="M8" i="6"/>
  <c r="F6" i="6"/>
  <c r="D6" i="6"/>
  <c r="G4" i="6"/>
  <c r="H41" i="21"/>
  <c r="K104" i="20"/>
  <c r="K91" i="20" s="1"/>
  <c r="E41" i="21"/>
  <c r="C43" i="21"/>
  <c r="F6" i="4"/>
  <c r="G6" i="4" s="1"/>
  <c r="F33" i="3"/>
  <c r="I33" i="3" s="1"/>
  <c r="H6" i="3"/>
  <c r="G6" i="3"/>
  <c r="B19" i="2"/>
  <c r="M13" i="20"/>
  <c r="K13" i="20" s="1"/>
  <c r="M7" i="20"/>
  <c r="K7" i="20" s="1"/>
  <c r="N39" i="6"/>
  <c r="N44" i="6"/>
  <c r="N43" i="6"/>
  <c r="N37" i="6"/>
  <c r="N46" i="6"/>
  <c r="N47" i="6"/>
  <c r="N40" i="6"/>
  <c r="N41" i="6"/>
  <c r="N38" i="6"/>
  <c r="N48" i="6"/>
  <c r="N45" i="6"/>
  <c r="G41" i="6"/>
  <c r="G39" i="6"/>
  <c r="D22" i="6"/>
  <c r="F7" i="3"/>
  <c r="F39" i="3"/>
  <c r="I41" i="3"/>
  <c r="F28" i="3"/>
  <c r="I31" i="3"/>
  <c r="I30" i="3"/>
  <c r="I18" i="3"/>
  <c r="I49" i="3"/>
  <c r="I46" i="3"/>
  <c r="I53" i="3"/>
  <c r="I44" i="3"/>
  <c r="I35" i="3"/>
  <c r="I25" i="3"/>
  <c r="I10" i="3"/>
  <c r="I44" i="20"/>
  <c r="I45" i="20"/>
  <c r="F47" i="2"/>
  <c r="F33" i="2"/>
  <c r="F26" i="2"/>
  <c r="F12" i="2"/>
  <c r="F40" i="2"/>
  <c r="B47" i="2"/>
  <c r="B33" i="2"/>
  <c r="B40" i="2"/>
  <c r="B26" i="2"/>
  <c r="B12" i="2"/>
  <c r="D5" i="2"/>
  <c r="C5" i="2"/>
  <c r="G45" i="6"/>
  <c r="M17" i="6"/>
  <c r="D12" i="6"/>
  <c r="D10" i="6"/>
  <c r="F27" i="6"/>
  <c r="K11" i="6"/>
  <c r="K15" i="6"/>
  <c r="D8" i="6"/>
  <c r="K5" i="6"/>
  <c r="K17" i="6"/>
  <c r="D25" i="6"/>
  <c r="K7" i="6"/>
  <c r="D19" i="6"/>
  <c r="D7" i="6"/>
  <c r="K13" i="6"/>
  <c r="D28" i="6"/>
  <c r="D18" i="6"/>
  <c r="D26" i="6"/>
  <c r="D23" i="6"/>
  <c r="D9" i="6"/>
  <c r="K6" i="6"/>
  <c r="J91" i="20"/>
  <c r="K85" i="20"/>
  <c r="K81" i="20"/>
  <c r="K90" i="20"/>
  <c r="K86" i="20"/>
  <c r="J87" i="20"/>
  <c r="J82" i="20"/>
  <c r="J84" i="20"/>
  <c r="K87" i="20"/>
  <c r="K89" i="20"/>
  <c r="K88" i="20"/>
  <c r="J89" i="20"/>
  <c r="J90" i="20"/>
  <c r="J81" i="20"/>
  <c r="J88" i="20"/>
  <c r="K82" i="20"/>
  <c r="K84" i="20"/>
  <c r="J86" i="20"/>
  <c r="J85" i="20"/>
  <c r="K83" i="20"/>
  <c r="M14" i="20"/>
  <c r="K14" i="20" s="1"/>
  <c r="F18" i="6"/>
  <c r="F21" i="6"/>
  <c r="F24" i="6"/>
  <c r="F19" i="6"/>
  <c r="M14" i="6"/>
  <c r="F28" i="6"/>
  <c r="F23" i="6"/>
  <c r="M13" i="6"/>
  <c r="M12" i="6"/>
  <c r="M18" i="6"/>
  <c r="M5" i="6"/>
  <c r="M9" i="6"/>
  <c r="F10" i="6"/>
  <c r="F9" i="6"/>
  <c r="F7" i="6"/>
  <c r="F13" i="6"/>
  <c r="K18" i="6"/>
  <c r="K12" i="6"/>
  <c r="K4" i="6"/>
  <c r="D20" i="6"/>
  <c r="D11" i="6"/>
  <c r="D24" i="6"/>
  <c r="D30" i="6"/>
  <c r="F20" i="6"/>
  <c r="M15" i="6"/>
  <c r="F15" i="6"/>
  <c r="F12" i="6"/>
  <c r="M7" i="6"/>
  <c r="F26" i="6"/>
  <c r="F14" i="6"/>
  <c r="F22" i="6"/>
  <c r="F11" i="6"/>
  <c r="F8" i="6"/>
  <c r="M4" i="6"/>
  <c r="M19" i="6"/>
  <c r="F29" i="6"/>
  <c r="M10" i="6"/>
  <c r="F30" i="6"/>
  <c r="K19" i="6"/>
  <c r="K14" i="6"/>
  <c r="K8" i="6"/>
  <c r="D31" i="6"/>
  <c r="D21" i="6"/>
  <c r="D13" i="6"/>
  <c r="K10" i="6"/>
  <c r="D27" i="6"/>
  <c r="D14" i="6"/>
  <c r="I40" i="20"/>
  <c r="U35" i="10"/>
  <c r="G44" i="6"/>
  <c r="G40" i="6"/>
  <c r="H21" i="8"/>
  <c r="G16" i="6"/>
  <c r="F22" i="3"/>
  <c r="M11" i="6"/>
  <c r="K9" i="6"/>
  <c r="F25" i="6"/>
  <c r="M16" i="6"/>
  <c r="M6" i="6"/>
  <c r="F31" i="6"/>
  <c r="D29" i="6"/>
  <c r="D15" i="6"/>
  <c r="H25" i="8"/>
  <c r="G47" i="6"/>
  <c r="G46" i="6"/>
  <c r="H35" i="8"/>
  <c r="H37" i="8"/>
  <c r="G37" i="6"/>
  <c r="H39" i="8"/>
  <c r="G42" i="6"/>
  <c r="G43" i="6"/>
  <c r="G48" i="6"/>
  <c r="H43" i="8"/>
  <c r="F47" i="3"/>
  <c r="F6" i="3" l="1"/>
  <c r="X35" i="10"/>
  <c r="S35" i="10"/>
  <c r="I35" i="10"/>
  <c r="M35" i="10"/>
  <c r="K35" i="10"/>
  <c r="T35" i="10"/>
  <c r="L35" i="10"/>
  <c r="O35" i="10"/>
  <c r="G35" i="10"/>
  <c r="R35" i="10"/>
  <c r="W35" i="10"/>
  <c r="Q35" i="10"/>
  <c r="N35" i="10"/>
  <c r="V35" i="10"/>
  <c r="J35" i="10"/>
  <c r="H35" i="10"/>
  <c r="F35" i="10"/>
  <c r="N33" i="2"/>
  <c r="F16" i="6"/>
  <c r="C41" i="21"/>
  <c r="I82" i="20"/>
  <c r="N49" i="6"/>
  <c r="I39" i="3"/>
  <c r="I28" i="3"/>
  <c r="I22" i="3"/>
  <c r="I47" i="3"/>
  <c r="I39" i="20"/>
  <c r="B5" i="2"/>
  <c r="I91" i="20"/>
  <c r="I88" i="20"/>
  <c r="I81" i="20"/>
  <c r="I85" i="20"/>
  <c r="I84" i="20"/>
  <c r="I86" i="20"/>
  <c r="I90" i="20"/>
  <c r="I83" i="20"/>
  <c r="I89" i="20"/>
  <c r="I87" i="20"/>
  <c r="K32" i="14"/>
  <c r="M20" i="6"/>
  <c r="K20" i="6"/>
  <c r="D4" i="6"/>
  <c r="I38" i="20"/>
  <c r="F4" i="6"/>
  <c r="D16" i="6"/>
  <c r="G49" i="6"/>
  <c r="I46" i="20"/>
  <c r="I47" i="20" s="1"/>
  <c r="D35" i="10" l="1"/>
  <c r="J50" i="3"/>
  <c r="J25" i="3"/>
  <c r="J29" i="3"/>
  <c r="J33" i="3"/>
  <c r="J37" i="3"/>
  <c r="J41" i="3"/>
  <c r="J45" i="3"/>
  <c r="J49" i="3"/>
  <c r="J54" i="3"/>
  <c r="J17" i="3"/>
  <c r="J14" i="3"/>
  <c r="J12" i="3"/>
  <c r="J6" i="3"/>
  <c r="J9" i="3"/>
  <c r="J32" i="3"/>
  <c r="J40" i="3"/>
  <c r="J53" i="3"/>
  <c r="J22" i="3"/>
  <c r="J26" i="3"/>
  <c r="J30" i="3"/>
  <c r="J34" i="3"/>
  <c r="J38" i="3"/>
  <c r="J42" i="3"/>
  <c r="J46" i="3"/>
  <c r="J51" i="3"/>
  <c r="J55" i="3"/>
  <c r="J18" i="3"/>
  <c r="J13" i="3"/>
  <c r="J48" i="3"/>
  <c r="J20" i="3"/>
  <c r="J23" i="3"/>
  <c r="J27" i="3"/>
  <c r="J31" i="3"/>
  <c r="J35" i="3"/>
  <c r="J39" i="3"/>
  <c r="J43" i="3"/>
  <c r="J47" i="3"/>
  <c r="J52" i="3"/>
  <c r="J15" i="3"/>
  <c r="J19" i="3"/>
  <c r="J10" i="3"/>
  <c r="J8" i="3"/>
  <c r="J24" i="3"/>
  <c r="J28" i="3"/>
  <c r="J36" i="3"/>
  <c r="J44" i="3"/>
  <c r="J16" i="3"/>
  <c r="J11" i="3"/>
  <c r="O43" i="2"/>
  <c r="P45" i="2"/>
  <c r="P44" i="2"/>
  <c r="P43" i="2"/>
  <c r="O45" i="2"/>
  <c r="O44" i="2"/>
  <c r="N43" i="2"/>
  <c r="N44" i="2"/>
  <c r="N45" i="2"/>
  <c r="I41" i="20"/>
  <c r="I6" i="3"/>
</calcChain>
</file>

<file path=xl/comments1.xml><?xml version="1.0" encoding="utf-8"?>
<comments xmlns="http://schemas.openxmlformats.org/spreadsheetml/2006/main">
  <authors>
    <author>情報政策課</author>
  </authors>
  <commentList>
    <comment ref="B11" authorId="0" shapeId="0">
      <text>
        <r>
          <rPr>
            <b/>
            <sz val="9"/>
            <color indexed="81"/>
            <rFont val="ＭＳ Ｐゴシック"/>
            <family val="3"/>
            <charset val="128"/>
          </rPr>
          <t>H23.12.22　宇治川改修池（188.39㎡）の増分をH23年版で載せるべきだが、単位に満たないため、数値はそのまま。</t>
        </r>
      </text>
    </comment>
    <comment ref="B26" authorId="0" shapeId="0">
      <text>
        <r>
          <rPr>
            <b/>
            <sz val="9"/>
            <color indexed="81"/>
            <rFont val="ＭＳ Ｐゴシック"/>
            <family val="3"/>
            <charset val="128"/>
          </rPr>
          <t>H24.7月5日編入の西洲2丁目の埋立（25944.60㎡）・ふ頭用地分の増</t>
        </r>
      </text>
    </comment>
  </commentList>
</comments>
</file>

<file path=xl/comments2.xml><?xml version="1.0" encoding="utf-8"?>
<comments xmlns="http://schemas.openxmlformats.org/spreadsheetml/2006/main">
  <authors>
    <author>情報政策課</author>
  </authors>
  <commentList>
    <comment ref="H22" authorId="0" shapeId="0">
      <text>
        <r>
          <rPr>
            <b/>
            <sz val="9"/>
            <color indexed="81"/>
            <rFont val="ＭＳ Ｐゴシック"/>
            <family val="3"/>
            <charset val="128"/>
          </rPr>
          <t>※人口動態は住居設定や職権消除を含むため、（24）都道府県別人口移動状況の総計とは一致しない.
（22）人口動態＞（24）人口移動</t>
        </r>
      </text>
    </comment>
  </commentList>
</comments>
</file>

<file path=xl/sharedStrings.xml><?xml version="1.0" encoding="utf-8"?>
<sst xmlns="http://schemas.openxmlformats.org/spreadsheetml/2006/main" count="1596" uniqueCount="732">
  <si>
    <t>（６）</t>
    <phoneticPr fontId="19"/>
  </si>
  <si>
    <t>（7）</t>
    <phoneticPr fontId="19"/>
  </si>
  <si>
    <t>　　（6）  住民登録人口の推移　（P39参照）</t>
    <rPh sb="21" eb="23">
      <t>サンショウ</t>
    </rPh>
    <phoneticPr fontId="19"/>
  </si>
  <si>
    <t>　　　　（7）  国籍別外国人登録数　（P44参照）</t>
    <rPh sb="9" eb="11">
      <t>コクセキ</t>
    </rPh>
    <rPh sb="11" eb="12">
      <t>ベツ</t>
    </rPh>
    <rPh sb="12" eb="14">
      <t>ガイコク</t>
    </rPh>
    <rPh sb="14" eb="15">
      <t>ジン</t>
    </rPh>
    <rPh sb="17" eb="18">
      <t>カズ</t>
    </rPh>
    <rPh sb="23" eb="25">
      <t>サンショウ</t>
    </rPh>
    <phoneticPr fontId="19"/>
  </si>
  <si>
    <t>（8）</t>
    <phoneticPr fontId="19"/>
  </si>
  <si>
    <t>Ａ</t>
    <phoneticPr fontId="19"/>
  </si>
  <si>
    <t>△Ｄ</t>
    <phoneticPr fontId="19"/>
  </si>
  <si>
    <t>Ｂ</t>
    <phoneticPr fontId="19"/>
  </si>
  <si>
    <t>22年</t>
    <rPh sb="2" eb="3">
      <t>ネン</t>
    </rPh>
    <phoneticPr fontId="19"/>
  </si>
  <si>
    <t>（11）</t>
    <phoneticPr fontId="19"/>
  </si>
  <si>
    <t>（10）</t>
    <phoneticPr fontId="19"/>
  </si>
  <si>
    <t>（9）</t>
    <phoneticPr fontId="19"/>
  </si>
  <si>
    <t>増加率</t>
    <rPh sb="0" eb="2">
      <t>ゾウカ</t>
    </rPh>
    <rPh sb="2" eb="3">
      <t>リツ</t>
    </rPh>
    <phoneticPr fontId="19"/>
  </si>
  <si>
    <t>（14）</t>
    <phoneticPr fontId="19"/>
  </si>
  <si>
    <t>100歳以上</t>
    <rPh sb="3" eb="6">
      <t>サイイジョウ</t>
    </rPh>
    <phoneticPr fontId="19"/>
  </si>
  <si>
    <t>（34） 　沖縄県、市部、郡部別、人口集中地区（Ｄ・Ｉ・Ｄｓ）の年齢（５歳階級）別人口</t>
    <phoneticPr fontId="19"/>
  </si>
  <si>
    <t>（単位：世帯、人、％）</t>
  </si>
  <si>
    <t>年　　次</t>
  </si>
  <si>
    <t>世 帯 数</t>
  </si>
  <si>
    <t>対　前　年</t>
  </si>
  <si>
    <t>総　　数</t>
  </si>
  <si>
    <t>男</t>
  </si>
  <si>
    <t>女</t>
  </si>
  <si>
    <t>人口増減数</t>
  </si>
  <si>
    <t>人口増減率</t>
  </si>
  <si>
    <t>平成17年</t>
  </si>
  <si>
    <t>平成22年</t>
  </si>
  <si>
    <t xml:space="preserve">　　　　　　　　　　　　　　　　　　　　　　　　　　　　　　　　　　　　　　　　　　　　　　　　　  </t>
  </si>
  <si>
    <t>（単位：人）</t>
  </si>
  <si>
    <t>（15歳～64歳）</t>
  </si>
  <si>
    <t xml:space="preserve"> </t>
  </si>
  <si>
    <t>（単位：人、％、歳）</t>
  </si>
  <si>
    <t>年　  齢</t>
  </si>
  <si>
    <t>総　数</t>
  </si>
  <si>
    <t xml:space="preserve">  総　　数</t>
  </si>
  <si>
    <t>０</t>
  </si>
  <si>
    <t>１</t>
  </si>
  <si>
    <t>２</t>
  </si>
  <si>
    <t>３</t>
  </si>
  <si>
    <t>４</t>
  </si>
  <si>
    <t xml:space="preserve"> ０ ～ ４歳</t>
  </si>
  <si>
    <t xml:space="preserve"> 30 ～ 34歳</t>
  </si>
  <si>
    <t xml:space="preserve"> 60 ～ 64歳</t>
  </si>
  <si>
    <t xml:space="preserve"> 90 ～ 94歳</t>
  </si>
  <si>
    <t>５</t>
  </si>
  <si>
    <t>６</t>
  </si>
  <si>
    <t>７</t>
  </si>
  <si>
    <t>８</t>
  </si>
  <si>
    <t>９</t>
  </si>
  <si>
    <t xml:space="preserve"> ５ ～ ９歳</t>
  </si>
  <si>
    <t xml:space="preserve"> 35 ～ 39歳</t>
  </si>
  <si>
    <t xml:space="preserve"> 65 ～ 69歳</t>
  </si>
  <si>
    <t xml:space="preserve"> 95 ～ 99歳</t>
  </si>
  <si>
    <t xml:space="preserve"> 10 ～ 14歳</t>
  </si>
  <si>
    <t xml:space="preserve"> 40 ～ 44歳</t>
  </si>
  <si>
    <t xml:space="preserve"> 70 ～ 74歳</t>
  </si>
  <si>
    <t>100 ～ 104歳</t>
  </si>
  <si>
    <t xml:space="preserve">  105歳以上</t>
  </si>
  <si>
    <t xml:space="preserve">  （再掲）</t>
  </si>
  <si>
    <t xml:space="preserve">  20歳以上</t>
  </si>
  <si>
    <t xml:space="preserve"> 15 ～ 19歳</t>
  </si>
  <si>
    <t xml:space="preserve"> 45 ～ 49歳</t>
  </si>
  <si>
    <t xml:space="preserve"> 75 ～ 79歳</t>
  </si>
  <si>
    <t xml:space="preserve">  15～49歳</t>
  </si>
  <si>
    <t xml:space="preserve">  60歳以上</t>
  </si>
  <si>
    <t xml:space="preserve">  70歳以上</t>
  </si>
  <si>
    <t xml:space="preserve">  75歳以上</t>
  </si>
  <si>
    <t xml:space="preserve">  15歳未満</t>
  </si>
  <si>
    <t xml:space="preserve">  15～64歳</t>
  </si>
  <si>
    <t xml:space="preserve"> 20 ～ 24歳</t>
  </si>
  <si>
    <t xml:space="preserve"> 50 ～ 54歳</t>
  </si>
  <si>
    <t xml:space="preserve"> 80 ～ 84歳</t>
  </si>
  <si>
    <t xml:space="preserve">  65歳以上</t>
  </si>
  <si>
    <t>年齢別割合％</t>
  </si>
  <si>
    <t xml:space="preserve"> 25 ～ 29歳</t>
  </si>
  <si>
    <t xml:space="preserve"> 55 ～ 59歳</t>
  </si>
  <si>
    <t xml:space="preserve"> 85 ～ 89歳</t>
  </si>
  <si>
    <t xml:space="preserve">  平均年齢</t>
  </si>
  <si>
    <t xml:space="preserve">                                                                                                      </t>
  </si>
  <si>
    <t xml:space="preserve">（19）  行政区別登録人口及び人口比重（各年共12月末日現在）  </t>
  </si>
  <si>
    <t>（単位：世帯、人、パーミル）</t>
  </si>
  <si>
    <t>行　政　区　分</t>
  </si>
  <si>
    <t>人口</t>
  </si>
  <si>
    <t>前年に対</t>
  </si>
  <si>
    <t>人口比重</t>
  </si>
  <si>
    <t>増 加 数</t>
  </si>
  <si>
    <t>総　　　　　数</t>
  </si>
  <si>
    <t>北　地　区</t>
  </si>
  <si>
    <t>総　　　数</t>
  </si>
  <si>
    <t>牧港</t>
  </si>
  <si>
    <t>牧港ハイツ</t>
  </si>
  <si>
    <t>上野</t>
  </si>
  <si>
    <t>マチナトタウン</t>
  </si>
  <si>
    <t>浦添市街地住宅</t>
  </si>
  <si>
    <t>港川</t>
  </si>
  <si>
    <t>港川崎原</t>
  </si>
  <si>
    <t>浦城</t>
  </si>
  <si>
    <t>伊祖</t>
  </si>
  <si>
    <t>浅野浦</t>
  </si>
  <si>
    <t>緑ヶ丘</t>
  </si>
  <si>
    <t>城間</t>
  </si>
  <si>
    <t>屋富祖</t>
  </si>
  <si>
    <t>宮城</t>
  </si>
  <si>
    <t>仲西</t>
  </si>
  <si>
    <t>大平</t>
  </si>
  <si>
    <t>西　地　区</t>
  </si>
  <si>
    <t>神森</t>
  </si>
  <si>
    <t>勢理客</t>
  </si>
  <si>
    <t>小湾</t>
  </si>
  <si>
    <t>内間</t>
  </si>
  <si>
    <t>仲間</t>
  </si>
  <si>
    <t>茶山</t>
  </si>
  <si>
    <t>安波茶</t>
  </si>
  <si>
    <t>浦添ﾆｭｰﾀｳﾝ</t>
  </si>
  <si>
    <t>浦添ハイツ</t>
  </si>
  <si>
    <t>前田</t>
  </si>
  <si>
    <t>浦添ｸﾞﾘｰﾝﾊｲﾂ</t>
  </si>
  <si>
    <t>前田公務員宿舎</t>
  </si>
  <si>
    <t>経塚</t>
  </si>
  <si>
    <t>沢岻</t>
  </si>
  <si>
    <t>県営沢岻高層住宅</t>
  </si>
  <si>
    <t>県営経塚団地</t>
  </si>
  <si>
    <t>西原一区</t>
  </si>
  <si>
    <t>西原二区</t>
  </si>
  <si>
    <t>浦西</t>
  </si>
  <si>
    <t>広栄</t>
  </si>
  <si>
    <t>陽迎橋</t>
  </si>
  <si>
    <t>当山</t>
  </si>
  <si>
    <t>当山ハイツ</t>
  </si>
  <si>
    <t>／</t>
  </si>
  <si>
    <t>ｷｬﾝﾌﾟｷﾝｻﾞｰ</t>
  </si>
  <si>
    <t xml:space="preserve">(20）　字別人口増加率及び人口密度（各年共12月末日現在） </t>
  </si>
  <si>
    <t>字　　別</t>
  </si>
  <si>
    <t>面　　 積       　　（k㎡）</t>
  </si>
  <si>
    <t>人　　　　　口</t>
  </si>
  <si>
    <t>人　　口
増 加 数</t>
  </si>
  <si>
    <t>人　 　口
増加率(％)</t>
  </si>
  <si>
    <t>人口密度</t>
  </si>
  <si>
    <t>総      数</t>
  </si>
  <si>
    <t>仲　　　間</t>
  </si>
  <si>
    <t>安　波　茶</t>
  </si>
  <si>
    <t>伊　　　祖</t>
  </si>
  <si>
    <t>牧　　　港</t>
  </si>
  <si>
    <t>港　　　川</t>
  </si>
  <si>
    <t>城　　　間</t>
  </si>
  <si>
    <t>屋　富　祖</t>
  </si>
  <si>
    <t>宮　　　城</t>
  </si>
  <si>
    <t>仲　　　西</t>
  </si>
  <si>
    <t>小　　　湾</t>
  </si>
  <si>
    <t>-</t>
  </si>
  <si>
    <t>勢　理　客</t>
  </si>
  <si>
    <t>内　　　間</t>
  </si>
  <si>
    <t>沢　　　岻</t>
  </si>
  <si>
    <t>経　　　塚</t>
  </si>
  <si>
    <t>前　　　田</t>
  </si>
  <si>
    <t>西　　　原</t>
  </si>
  <si>
    <t>当　　　山</t>
  </si>
  <si>
    <t>大　　　平</t>
  </si>
  <si>
    <t>西　　　洲</t>
  </si>
  <si>
    <t>伊 奈 武 瀬</t>
  </si>
  <si>
    <t xml:space="preserve">（注）面積は、平成６年の面積に埋立面積等を加算した数値である。                  　　          　　 </t>
  </si>
  <si>
    <t xml:space="preserve">　　　伊奈武瀬、小湾、勢理客については、平成14年度住居表示実施による数値である。 </t>
  </si>
  <si>
    <t>（21）  国籍別外国人登録数（各年共12月末現在）</t>
  </si>
  <si>
    <t>国　　　名</t>
  </si>
  <si>
    <t>総数</t>
  </si>
  <si>
    <t>米国</t>
  </si>
  <si>
    <t>中国</t>
  </si>
  <si>
    <t>韓国・朝鮮</t>
  </si>
  <si>
    <t>フィリピン</t>
  </si>
  <si>
    <t>ベトナム</t>
  </si>
  <si>
    <t>タイ</t>
  </si>
  <si>
    <t>カナダ</t>
  </si>
  <si>
    <t>ブラジル</t>
  </si>
  <si>
    <t>アルゼンチン</t>
  </si>
  <si>
    <t>ペ　ル　ー</t>
  </si>
  <si>
    <t>ボリビア</t>
  </si>
  <si>
    <t>英　　　国</t>
  </si>
  <si>
    <t>そ　の　他</t>
  </si>
  <si>
    <t>資料：市民課</t>
  </si>
  <si>
    <t>（22）　人口動態の推移</t>
  </si>
  <si>
    <t>（単位：人、組）</t>
  </si>
  <si>
    <t>年　別</t>
  </si>
  <si>
    <t>人口増加</t>
  </si>
  <si>
    <t>自　　然　　動　　態</t>
  </si>
  <si>
    <t>社　　会　　動　　態</t>
  </si>
  <si>
    <t>自然増加</t>
  </si>
  <si>
    <t>出　生</t>
  </si>
  <si>
    <t>死　亡</t>
  </si>
  <si>
    <t>社会増加</t>
  </si>
  <si>
    <t>転　入</t>
  </si>
  <si>
    <t>転　出</t>
  </si>
  <si>
    <t>婚  姻</t>
  </si>
  <si>
    <t>離  婚</t>
  </si>
  <si>
    <t>Ａ＋Ｂ</t>
  </si>
  <si>
    <t>A＝(1)-(2)</t>
  </si>
  <si>
    <t>（１)</t>
  </si>
  <si>
    <t>（２）</t>
  </si>
  <si>
    <t>B＝(3)-(4)</t>
  </si>
  <si>
    <t>（３)</t>
  </si>
  <si>
    <t>（４）</t>
  </si>
  <si>
    <t>（単位：人、％）</t>
  </si>
  <si>
    <t>市町村別</t>
  </si>
  <si>
    <t>移動率</t>
  </si>
  <si>
    <t>総計</t>
  </si>
  <si>
    <t>西原町</t>
  </si>
  <si>
    <t>与那原町</t>
  </si>
  <si>
    <t>那覇市</t>
  </si>
  <si>
    <t>八重瀬町</t>
  </si>
  <si>
    <t>うるま市</t>
  </si>
  <si>
    <t>南風原町</t>
  </si>
  <si>
    <t>宮古島市</t>
  </si>
  <si>
    <t>久米島町</t>
  </si>
  <si>
    <t>宜野湾市</t>
  </si>
  <si>
    <t>渡嘉敷村</t>
  </si>
  <si>
    <t>南城市</t>
  </si>
  <si>
    <t>座間味村</t>
  </si>
  <si>
    <t>石垣市</t>
  </si>
  <si>
    <t>粟国村</t>
  </si>
  <si>
    <t>名護市</t>
  </si>
  <si>
    <t>渡名喜村</t>
  </si>
  <si>
    <t>糸満市</t>
  </si>
  <si>
    <t>南大東村</t>
  </si>
  <si>
    <t>沖縄市</t>
  </si>
  <si>
    <t>北大東村</t>
  </si>
  <si>
    <t>豊見城市</t>
  </si>
  <si>
    <t>伊平屋村</t>
  </si>
  <si>
    <t>市部計</t>
  </si>
  <si>
    <t>伊是名村</t>
  </si>
  <si>
    <t>多良間村</t>
  </si>
  <si>
    <t>国頭村</t>
  </si>
  <si>
    <t>竹富町</t>
  </si>
  <si>
    <t>大宜味村</t>
  </si>
  <si>
    <t>与那国町</t>
  </si>
  <si>
    <t>東村</t>
  </si>
  <si>
    <t>郡部計</t>
  </si>
  <si>
    <t>今帰仁村</t>
  </si>
  <si>
    <t>本部町</t>
  </si>
  <si>
    <t>恩納村</t>
  </si>
  <si>
    <t>宜野座村</t>
  </si>
  <si>
    <t>金武町</t>
  </si>
  <si>
    <t>伊江村</t>
  </si>
  <si>
    <t>読谷村</t>
  </si>
  <si>
    <t>嘉手納町</t>
  </si>
  <si>
    <t>北谷町</t>
  </si>
  <si>
    <t>北中城村</t>
  </si>
  <si>
    <t>中城村</t>
  </si>
  <si>
    <t>沖縄県</t>
  </si>
  <si>
    <t>国外</t>
  </si>
  <si>
    <t xml:space="preserve">                                                                      　　　　　　　　　 </t>
  </si>
  <si>
    <t>　</t>
  </si>
  <si>
    <t>市  町  村  別</t>
  </si>
  <si>
    <t>面　　積</t>
  </si>
  <si>
    <t>世　帯　数</t>
  </si>
  <si>
    <t>人  　  　　　　　  　  口</t>
  </si>
  <si>
    <t xml:space="preserve">  人　　口</t>
  </si>
  <si>
    <t>人　　口　　比　　重</t>
  </si>
  <si>
    <t>１ｋ㎡当り人口密度</t>
  </si>
  <si>
    <t>増　加　数</t>
  </si>
  <si>
    <t>増 加 率</t>
  </si>
  <si>
    <t>比重の移動</t>
  </si>
  <si>
    <t>浦添市</t>
  </si>
  <si>
    <t>（26）  市町村別人口増加のタイプ</t>
  </si>
  <si>
    <t>（26）  市町村別人口増加のタイプ（続き）</t>
  </si>
  <si>
    <t>平　成　７　年　～　平　成　１２　年</t>
  </si>
  <si>
    <t>平　成　１２　年　～　平　成　１７　年</t>
  </si>
  <si>
    <t>平　成　１７　年　～　平　成　２２　年</t>
  </si>
  <si>
    <t>タ イ プ</t>
  </si>
  <si>
    <t>Ａ</t>
  </si>
  <si>
    <t>Ｂ</t>
  </si>
  <si>
    <t>Ｃ</t>
  </si>
  <si>
    <t>豊見城村</t>
  </si>
  <si>
    <t>(注）平成14年度から豊見城は市制施行している。</t>
  </si>
  <si>
    <t>※ タイプ・・・国勢調査による市町村の人口をもとにして、出生死亡数法によって、市町村別の社会増加数を</t>
  </si>
  <si>
    <t>　　    　 　　推計し、８つのタイプに分けた。</t>
  </si>
  <si>
    <t>①Ａタイプ・・・自然増加＞社会減少</t>
  </si>
  <si>
    <t>⑤△Ａタイプ・・・自然減少＞社会増加</t>
  </si>
  <si>
    <t>②Ｂタイプ・・・自然増加＞社会増加</t>
  </si>
  <si>
    <t>⑥△Ｂタイプ・・・自然減少＞社会減少</t>
  </si>
  <si>
    <t>③Ｃタイプ・・・自然増加＜社会増加</t>
  </si>
  <si>
    <t>⑦△Ｃタイプ・・・自然減少＜社会減少</t>
  </si>
  <si>
    <t>④Ｄタイプ・・・自然減少＜社会増加</t>
  </si>
  <si>
    <t>⑧△Ｄタイプ・・・自然増加＜社会減少</t>
  </si>
  <si>
    <t>人口の推移</t>
  </si>
  <si>
    <t>（27）  国勢調査人口の推移（各年共10月１日現在）</t>
  </si>
  <si>
    <t>人　　　　　　  　口</t>
  </si>
  <si>
    <t>一  世  帯
当 り 人 員</t>
  </si>
  <si>
    <t xml:space="preserve">  対　前　回</t>
  </si>
  <si>
    <t xml:space="preserve">  人口増加率</t>
  </si>
  <si>
    <t xml:space="preserve">    （％）</t>
  </si>
  <si>
    <t>…</t>
  </si>
  <si>
    <t>平成２年</t>
  </si>
  <si>
    <t>12</t>
  </si>
  <si>
    <t>17</t>
  </si>
  <si>
    <t>22</t>
  </si>
  <si>
    <t>（注）昭和25年の人口増加率は、昭和15年をもとにした。</t>
  </si>
  <si>
    <t>（28）年齢（５歳階級）、配偶関係及び男女別15歳以上人口</t>
  </si>
  <si>
    <t>(単位：人）</t>
  </si>
  <si>
    <t>有配偶</t>
  </si>
  <si>
    <t>15～19歳</t>
  </si>
  <si>
    <t>20～24</t>
  </si>
  <si>
    <t>25～29</t>
  </si>
  <si>
    <t>30～34</t>
  </si>
  <si>
    <t>35～44</t>
  </si>
  <si>
    <t>45～54</t>
  </si>
  <si>
    <t>55～64</t>
  </si>
  <si>
    <t>65歳以上</t>
  </si>
  <si>
    <t>（29）夫の年齢（５歳階級）、妻の年齢（５歳階級）別高齢夫婦世帯数</t>
  </si>
  <si>
    <t>（単位：世帯、人）</t>
  </si>
  <si>
    <t>夫の年齢</t>
  </si>
  <si>
    <t>妻が</t>
  </si>
  <si>
    <t>（５歳階級）</t>
  </si>
  <si>
    <t>60歳未満</t>
  </si>
  <si>
    <t>60～64</t>
  </si>
  <si>
    <t>65～69</t>
  </si>
  <si>
    <t>70～74</t>
  </si>
  <si>
    <t>75～79</t>
  </si>
  <si>
    <t>80～84</t>
  </si>
  <si>
    <t>85歳以上</t>
  </si>
  <si>
    <t>夫が60歳未満</t>
  </si>
  <si>
    <t>年 齢 構 造</t>
  </si>
  <si>
    <t>（30）  年齢階層別人口の推移（各年10月１日現在）</t>
  </si>
  <si>
    <t>（32）  年齢構造指数</t>
  </si>
  <si>
    <t>年　　　次</t>
  </si>
  <si>
    <t>年　　　　　次</t>
  </si>
  <si>
    <t>年少人口指数</t>
  </si>
  <si>
    <t>老年人口指数</t>
  </si>
  <si>
    <t>従属人口指数</t>
  </si>
  <si>
    <t>老年化指数</t>
  </si>
  <si>
    <t>（０歳～14歳）</t>
  </si>
  <si>
    <t>（65歳以上）</t>
  </si>
  <si>
    <t>うち男</t>
  </si>
  <si>
    <t>０～14歳人口</t>
  </si>
  <si>
    <t>65歳以上人口</t>
  </si>
  <si>
    <t xml:space="preserve"> ※ 年少人口指数＝</t>
  </si>
  <si>
    <t xml:space="preserve">          </t>
  </si>
  <si>
    <t>× 100</t>
  </si>
  <si>
    <t xml:space="preserve"> 老年人口指数＝</t>
  </si>
  <si>
    <t>　 × 100</t>
  </si>
  <si>
    <t>15～64歳人口</t>
  </si>
  <si>
    <t>（注）総数には「年齢不詳」を含まない。</t>
  </si>
  <si>
    <t xml:space="preserve">                                                         </t>
  </si>
  <si>
    <t xml:space="preserve"> ０～14歳人口＋65歳以上人口</t>
  </si>
  <si>
    <r>
      <t xml:space="preserve"> 　 </t>
    </r>
    <r>
      <rPr>
        <sz val="8"/>
        <rFont val="ＭＳ 明朝"/>
        <family val="1"/>
        <charset val="128"/>
      </rPr>
      <t xml:space="preserve">   </t>
    </r>
    <r>
      <rPr>
        <sz val="10"/>
        <rFont val="ＭＳ 明朝"/>
        <family val="1"/>
        <charset val="128"/>
      </rPr>
      <t>65歳以上人口</t>
    </r>
  </si>
  <si>
    <t xml:space="preserve">    従属人口指数＝</t>
  </si>
  <si>
    <t xml:space="preserve">　× 100  </t>
  </si>
  <si>
    <t xml:space="preserve"> 老年化指数＝</t>
  </si>
  <si>
    <t xml:space="preserve"> 　× 100</t>
  </si>
  <si>
    <t>（31）  年齢５歳階級別、男女別人口（各年10月１日現在）</t>
  </si>
  <si>
    <t xml:space="preserve">     区　  　　分</t>
  </si>
  <si>
    <t>総　  数</t>
  </si>
  <si>
    <t>０～４</t>
  </si>
  <si>
    <t>５～９</t>
  </si>
  <si>
    <t>10～14</t>
  </si>
  <si>
    <t>15～19</t>
  </si>
  <si>
    <t>35～39</t>
  </si>
  <si>
    <t>40～44</t>
  </si>
  <si>
    <t>45～49</t>
  </si>
  <si>
    <t>50～54</t>
  </si>
  <si>
    <t>55～59</t>
  </si>
  <si>
    <t>80歳以上</t>
  </si>
  <si>
    <t>年齢不詳</t>
  </si>
  <si>
    <t>平</t>
  </si>
  <si>
    <t>総人口に対する割合(％)</t>
  </si>
  <si>
    <t>成</t>
  </si>
  <si>
    <t>総　　　　数</t>
  </si>
  <si>
    <t>年</t>
  </si>
  <si>
    <r>
      <t>人口集中地区　</t>
    </r>
    <r>
      <rPr>
        <sz val="10"/>
        <rFont val="ＭＳ 明朝"/>
        <family val="1"/>
        <charset val="128"/>
      </rPr>
      <t xml:space="preserve"> </t>
    </r>
  </si>
  <si>
    <t>（33）  市部別、人口集中地区（Ｄ・Ｉ・Ｄｓ）の人口増減、面積及び人口密度</t>
  </si>
  <si>
    <t>（単位：人、㎢、％）</t>
  </si>
  <si>
    <t>総人口に占める</t>
  </si>
  <si>
    <t xml:space="preserve">総面積に占める </t>
  </si>
  <si>
    <t>率</t>
  </si>
  <si>
    <t>（k㎡）</t>
  </si>
  <si>
    <t>　　　(１k㎡当り人口)</t>
  </si>
  <si>
    <t>人口割合</t>
  </si>
  <si>
    <t>　　面　積　割　合（％）</t>
  </si>
  <si>
    <t>沖　縄　県　　</t>
  </si>
  <si>
    <t>那　覇　市</t>
  </si>
  <si>
    <t>石　垣　市</t>
  </si>
  <si>
    <t>浦　添　市</t>
  </si>
  <si>
    <t>名　護　市</t>
  </si>
  <si>
    <t>糸　満　市</t>
  </si>
  <si>
    <t>沖　縄　市</t>
  </si>
  <si>
    <t xml:space="preserve">  </t>
  </si>
  <si>
    <t>０  ～　14  歳</t>
  </si>
  <si>
    <t>15　～　64　歳　　　</t>
  </si>
  <si>
    <t>総　　　 数</t>
  </si>
  <si>
    <r>
      <t xml:space="preserve"> </t>
    </r>
    <r>
      <rPr>
        <sz val="8"/>
        <rFont val="ＭＳ 明朝"/>
        <family val="1"/>
        <charset val="128"/>
      </rPr>
      <t xml:space="preserve"> </t>
    </r>
    <r>
      <rPr>
        <sz val="10"/>
        <rFont val="ＭＳ 明朝"/>
        <family val="1"/>
        <charset val="128"/>
      </rPr>
      <t>総　  数</t>
    </r>
  </si>
  <si>
    <t>沖　縄　県</t>
  </si>
  <si>
    <t>市　　　　部</t>
  </si>
  <si>
    <t>郡　　　　部</t>
  </si>
  <si>
    <t>（注）65歳以上人口には、年齢不詳を含む。</t>
  </si>
  <si>
    <t>　なお、広大な工場地域・湾港施設・学校・都市公園・官公庁の施設がある地域は、人口密度に関係なく、こ</t>
  </si>
  <si>
    <t>れと隣接する人口密度の高い調査区の地域に含めている。</t>
  </si>
  <si>
    <t>（35）  市別、住宅の所有関係別世帯数</t>
  </si>
  <si>
    <t>住　宅　に　住　む　一　般　世　帯　数</t>
  </si>
  <si>
    <t>住宅以外</t>
  </si>
  <si>
    <t>１世帯</t>
  </si>
  <si>
    <t>１人当り</t>
  </si>
  <si>
    <t>に住む</t>
  </si>
  <si>
    <t>当り</t>
  </si>
  <si>
    <t>持ち家</t>
  </si>
  <si>
    <t>公営借家</t>
  </si>
  <si>
    <t>民営借家</t>
  </si>
  <si>
    <t>給与住宅</t>
  </si>
  <si>
    <t>間 借</t>
  </si>
  <si>
    <t>一般世帯</t>
  </si>
  <si>
    <t>延面積</t>
  </si>
  <si>
    <t xml:space="preserve"> (36)  住宅の人員数、及び面積</t>
  </si>
  <si>
    <t>住 居 の
種 類 別</t>
  </si>
  <si>
    <t>世　　帯　　数</t>
  </si>
  <si>
    <t>世　帯　人　員</t>
  </si>
  <si>
    <t>１  世  帯  当  り</t>
  </si>
  <si>
    <t>人　　員</t>
  </si>
  <si>
    <t>延べ面積</t>
  </si>
  <si>
    <t>　　(持ち家)</t>
  </si>
  <si>
    <t>　　(公営住宅)</t>
  </si>
  <si>
    <t>　　(民営借家)</t>
  </si>
  <si>
    <t>　　(給与住宅)</t>
  </si>
  <si>
    <t>　　(間借り)</t>
  </si>
  <si>
    <t>ネパール</t>
    <phoneticPr fontId="19"/>
  </si>
  <si>
    <t>転 入</t>
    <phoneticPr fontId="19"/>
  </si>
  <si>
    <t xml:space="preserve">（15）  住民登録人口の推移①　（各年共12月末日現在） </t>
    <rPh sb="18" eb="20">
      <t>カクネン</t>
    </rPh>
    <rPh sb="20" eb="21">
      <t>トモ</t>
    </rPh>
    <rPh sb="23" eb="24">
      <t>ガツ</t>
    </rPh>
    <rPh sb="24" eb="25">
      <t>マツ</t>
    </rPh>
    <rPh sb="25" eb="26">
      <t>ヒ</t>
    </rPh>
    <rPh sb="26" eb="28">
      <t>ゲンザイ</t>
    </rPh>
    <phoneticPr fontId="19"/>
  </si>
  <si>
    <t>（単位：世帯、人、％）</t>
    <rPh sb="1" eb="3">
      <t>タンイ</t>
    </rPh>
    <rPh sb="4" eb="6">
      <t>セタイ</t>
    </rPh>
    <rPh sb="7" eb="8">
      <t>ニン</t>
    </rPh>
    <phoneticPr fontId="19"/>
  </si>
  <si>
    <t>年　　次</t>
    <phoneticPr fontId="19"/>
  </si>
  <si>
    <t>世 帯 数</t>
    <rPh sb="0" eb="1">
      <t>ヨ</t>
    </rPh>
    <rPh sb="2" eb="3">
      <t>オビ</t>
    </rPh>
    <rPh sb="4" eb="5">
      <t>カズ</t>
    </rPh>
    <phoneticPr fontId="19"/>
  </si>
  <si>
    <t>人　　　　　　口</t>
    <phoneticPr fontId="19"/>
  </si>
  <si>
    <t>一 世 帯</t>
    <rPh sb="2" eb="3">
      <t>ヨ</t>
    </rPh>
    <rPh sb="4" eb="5">
      <t>オビ</t>
    </rPh>
    <phoneticPr fontId="19"/>
  </si>
  <si>
    <t>総　　数</t>
    <phoneticPr fontId="19"/>
  </si>
  <si>
    <t>男</t>
    <phoneticPr fontId="19"/>
  </si>
  <si>
    <t>女</t>
    <phoneticPr fontId="19"/>
  </si>
  <si>
    <t>当り人口</t>
    <rPh sb="0" eb="1">
      <t>アタ</t>
    </rPh>
    <rPh sb="2" eb="4">
      <t>ジンコウ</t>
    </rPh>
    <phoneticPr fontId="19"/>
  </si>
  <si>
    <t>（16）  住民登録人口の推移② （各年共３月末日現在）</t>
    <rPh sb="18" eb="20">
      <t>カクネン</t>
    </rPh>
    <rPh sb="20" eb="21">
      <t>トモ</t>
    </rPh>
    <rPh sb="22" eb="24">
      <t>ガツマツ</t>
    </rPh>
    <rPh sb="24" eb="25">
      <t>ヒ</t>
    </rPh>
    <rPh sb="25" eb="27">
      <t>ゲンザイ</t>
    </rPh>
    <phoneticPr fontId="19"/>
  </si>
  <si>
    <t>年　　次</t>
    <phoneticPr fontId="19"/>
  </si>
  <si>
    <t>人　　　　　　口</t>
    <phoneticPr fontId="19"/>
  </si>
  <si>
    <t>一 世 帯</t>
    <phoneticPr fontId="19"/>
  </si>
  <si>
    <t>総　　数</t>
    <phoneticPr fontId="19"/>
  </si>
  <si>
    <t>男</t>
    <phoneticPr fontId="19"/>
  </si>
  <si>
    <t>女</t>
    <phoneticPr fontId="19"/>
  </si>
  <si>
    <t xml:space="preserve">（17）  年齢階層別人口の推移（各年共３月末日現在）  </t>
    <rPh sb="17" eb="19">
      <t>カクネン</t>
    </rPh>
    <rPh sb="19" eb="20">
      <t>トモ</t>
    </rPh>
    <rPh sb="21" eb="23">
      <t>ガツマツ</t>
    </rPh>
    <rPh sb="23" eb="24">
      <t>ヒ</t>
    </rPh>
    <rPh sb="24" eb="26">
      <t>ゲンザイ</t>
    </rPh>
    <phoneticPr fontId="19"/>
  </si>
  <si>
    <t>（単位：人）</t>
    <rPh sb="1" eb="3">
      <t>タンイ</t>
    </rPh>
    <rPh sb="4" eb="5">
      <t>ニン</t>
    </rPh>
    <phoneticPr fontId="19"/>
  </si>
  <si>
    <t>年　　次</t>
    <phoneticPr fontId="19"/>
  </si>
  <si>
    <t>年少人口</t>
    <phoneticPr fontId="19"/>
  </si>
  <si>
    <t xml:space="preserve"> 生産年齢人口</t>
    <phoneticPr fontId="19"/>
  </si>
  <si>
    <t>老年人口</t>
    <phoneticPr fontId="19"/>
  </si>
  <si>
    <t xml:space="preserve"> （０歳～14歳）</t>
    <phoneticPr fontId="19"/>
  </si>
  <si>
    <t>（15歳～64歳）</t>
    <phoneticPr fontId="19"/>
  </si>
  <si>
    <t xml:space="preserve"> （65歳以上）</t>
    <phoneticPr fontId="19"/>
  </si>
  <si>
    <t>総　　数</t>
    <phoneticPr fontId="19"/>
  </si>
  <si>
    <t>男</t>
    <phoneticPr fontId="19"/>
  </si>
  <si>
    <t>女</t>
    <phoneticPr fontId="19"/>
  </si>
  <si>
    <t>市  部  別</t>
    <phoneticPr fontId="19"/>
  </si>
  <si>
    <t>人         口</t>
    <phoneticPr fontId="19"/>
  </si>
  <si>
    <t>人 口 密 度</t>
    <phoneticPr fontId="19"/>
  </si>
  <si>
    <t>Ｄ・I・Ｄs</t>
    <phoneticPr fontId="19"/>
  </si>
  <si>
    <t xml:space="preserve">    Ｄ・I・Ｄs　　</t>
    <phoneticPr fontId="19"/>
  </si>
  <si>
    <t>　　 △Ｄ</t>
    <phoneticPr fontId="19"/>
  </si>
  <si>
    <t>総　　　数</t>
    <phoneticPr fontId="19"/>
  </si>
  <si>
    <t>総　数</t>
    <phoneticPr fontId="19"/>
  </si>
  <si>
    <t>未 婚</t>
    <phoneticPr fontId="19"/>
  </si>
  <si>
    <t>死 別</t>
    <phoneticPr fontId="19"/>
  </si>
  <si>
    <t>離 別</t>
    <phoneticPr fontId="19"/>
  </si>
  <si>
    <t>離 別</t>
    <phoneticPr fontId="19"/>
  </si>
  <si>
    <t>-</t>
    <phoneticPr fontId="19"/>
  </si>
  <si>
    <t>-</t>
    <phoneticPr fontId="19"/>
  </si>
  <si>
    <t>年　齢</t>
    <phoneticPr fontId="19"/>
  </si>
  <si>
    <t>15 歳 以 上 人 口</t>
    <phoneticPr fontId="19"/>
  </si>
  <si>
    <t xml:space="preserve"> -　</t>
    <phoneticPr fontId="19"/>
  </si>
  <si>
    <t>中央北地区</t>
    <phoneticPr fontId="19"/>
  </si>
  <si>
    <t xml:space="preserve">中央西地区 </t>
    <phoneticPr fontId="19"/>
  </si>
  <si>
    <t>中央地区</t>
    <phoneticPr fontId="19"/>
  </si>
  <si>
    <t>南地区</t>
    <phoneticPr fontId="19"/>
  </si>
  <si>
    <t>東地区</t>
    <phoneticPr fontId="19"/>
  </si>
  <si>
    <t>妻　　　が　　　60　　　歳　　　以　　　上</t>
    <phoneticPr fontId="19"/>
  </si>
  <si>
    <t>年　少　人　口</t>
    <phoneticPr fontId="19"/>
  </si>
  <si>
    <t>生　産　年　齢　人　口</t>
    <phoneticPr fontId="19"/>
  </si>
  <si>
    <t>老　年　人　口</t>
    <phoneticPr fontId="19"/>
  </si>
  <si>
    <t xml:space="preserve"> 減</t>
    <phoneticPr fontId="19"/>
  </si>
  <si>
    <t>市　　　別</t>
    <phoneticPr fontId="19"/>
  </si>
  <si>
    <r>
      <rPr>
        <sz val="10"/>
        <color indexed="9"/>
        <rFont val="ＭＳ 明朝"/>
        <family val="1"/>
        <charset val="128"/>
      </rPr>
      <t>平成</t>
    </r>
    <r>
      <rPr>
        <sz val="10"/>
        <rFont val="ＭＳ 明朝"/>
        <family val="1"/>
        <charset val="128"/>
      </rPr>
      <t>13</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</si>
  <si>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14</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</si>
  <si>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15</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</si>
  <si>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16</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</si>
  <si>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17</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</si>
  <si>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18</t>
    </r>
    <r>
      <rPr>
        <sz val="10"/>
        <color indexed="9"/>
        <rFont val="ＭＳ 明朝"/>
        <family val="1"/>
        <charset val="128"/>
      </rPr>
      <t>年</t>
    </r>
    <rPh sb="0" eb="2">
      <t>ヘイセイ</t>
    </rPh>
    <rPh sb="4" eb="5">
      <t>ネン</t>
    </rPh>
    <phoneticPr fontId="19"/>
  </si>
  <si>
    <r>
      <rPr>
        <sz val="10"/>
        <color indexed="9"/>
        <rFont val="ＭＳ 明朝"/>
        <family val="1"/>
        <charset val="128"/>
      </rPr>
      <t>平成</t>
    </r>
    <r>
      <rPr>
        <sz val="10"/>
        <rFont val="ＭＳ 明朝"/>
        <family val="1"/>
        <charset val="128"/>
      </rPr>
      <t>19</t>
    </r>
    <r>
      <rPr>
        <sz val="10"/>
        <color indexed="9"/>
        <rFont val="ＭＳ 明朝"/>
        <family val="1"/>
        <charset val="128"/>
      </rPr>
      <t>年</t>
    </r>
    <rPh sb="0" eb="2">
      <t>ヘイセイ</t>
    </rPh>
    <rPh sb="4" eb="5">
      <t>ネン</t>
    </rPh>
    <phoneticPr fontId="19"/>
  </si>
  <si>
    <t>与那原町</t>
    <rPh sb="0" eb="4">
      <t>ヨナバルチョウ</t>
    </rPh>
    <phoneticPr fontId="19"/>
  </si>
  <si>
    <t>南城市</t>
    <rPh sb="0" eb="1">
      <t>ナン</t>
    </rPh>
    <rPh sb="1" eb="2">
      <t>シロ</t>
    </rPh>
    <rPh sb="2" eb="3">
      <t>シ</t>
    </rPh>
    <phoneticPr fontId="19"/>
  </si>
  <si>
    <t>　住宅以外に住む</t>
    <rPh sb="1" eb="3">
      <t>ジュウタク</t>
    </rPh>
    <rPh sb="3" eb="5">
      <t>イガイ</t>
    </rPh>
    <rPh sb="6" eb="7">
      <t>ス</t>
    </rPh>
    <phoneticPr fontId="19"/>
  </si>
  <si>
    <t>男</t>
    <rPh sb="0" eb="1">
      <t>オトコ</t>
    </rPh>
    <phoneticPr fontId="19"/>
  </si>
  <si>
    <t>女</t>
    <rPh sb="0" eb="1">
      <t>オンナ</t>
    </rPh>
    <phoneticPr fontId="19"/>
  </si>
  <si>
    <t>上昇率</t>
    <rPh sb="0" eb="2">
      <t>ジョウショウ</t>
    </rPh>
    <rPh sb="2" eb="3">
      <t>リツ</t>
    </rPh>
    <phoneticPr fontId="19"/>
  </si>
  <si>
    <r>
      <t>Ⅱ　</t>
    </r>
    <r>
      <rPr>
        <b/>
        <sz val="14"/>
        <rFont val="ＭＳ 明朝"/>
        <family val="1"/>
        <charset val="128"/>
      </rPr>
      <t>　人　　　　口</t>
    </r>
    <phoneticPr fontId="19"/>
  </si>
  <si>
    <t>各年12月末現在</t>
    <rPh sb="0" eb="1">
      <t>カク</t>
    </rPh>
    <rPh sb="1" eb="2">
      <t>ネン</t>
    </rPh>
    <rPh sb="4" eb="5">
      <t>ガツ</t>
    </rPh>
    <rPh sb="5" eb="6">
      <t>スエ</t>
    </rPh>
    <rPh sb="6" eb="8">
      <t>ゲンザイ</t>
    </rPh>
    <phoneticPr fontId="19"/>
  </si>
  <si>
    <t>米　国</t>
    <phoneticPr fontId="19"/>
  </si>
  <si>
    <t>中　国</t>
    <phoneticPr fontId="19"/>
  </si>
  <si>
    <t>フィリピン</t>
    <phoneticPr fontId="19"/>
  </si>
  <si>
    <t>ベトナム</t>
    <phoneticPr fontId="19"/>
  </si>
  <si>
    <t>タイ</t>
    <phoneticPr fontId="19"/>
  </si>
  <si>
    <t>カナダ</t>
    <phoneticPr fontId="19"/>
  </si>
  <si>
    <t>ブラジル</t>
    <phoneticPr fontId="19"/>
  </si>
  <si>
    <t>アルゼンチン</t>
    <phoneticPr fontId="19"/>
  </si>
  <si>
    <t>ペルー</t>
    <phoneticPr fontId="19"/>
  </si>
  <si>
    <t>ボリビア</t>
    <phoneticPr fontId="19"/>
  </si>
  <si>
    <t>英国</t>
    <rPh sb="0" eb="2">
      <t>エイコク</t>
    </rPh>
    <phoneticPr fontId="19"/>
  </si>
  <si>
    <t>その他</t>
    <rPh sb="2" eb="3">
      <t>タ</t>
    </rPh>
    <phoneticPr fontId="19"/>
  </si>
  <si>
    <t>（8）  年齢階層別人口構成　（P40参照）</t>
    <rPh sb="5" eb="7">
      <t>ネンレイ</t>
    </rPh>
    <rPh sb="7" eb="10">
      <t>カイソウベツ</t>
    </rPh>
    <rPh sb="10" eb="12">
      <t>ジンコウ</t>
    </rPh>
    <rPh sb="12" eb="14">
      <t>コウセイ</t>
    </rPh>
    <rPh sb="19" eb="21">
      <t>サンショウ</t>
    </rPh>
    <phoneticPr fontId="19"/>
  </si>
  <si>
    <t>年齢階層別人口構成</t>
    <rPh sb="0" eb="2">
      <t>ネンレイ</t>
    </rPh>
    <rPh sb="2" eb="4">
      <t>カイソウ</t>
    </rPh>
    <rPh sb="4" eb="5">
      <t>ベツ</t>
    </rPh>
    <rPh sb="5" eb="7">
      <t>ジンコウ</t>
    </rPh>
    <rPh sb="7" eb="9">
      <t>コウセイ</t>
    </rPh>
    <phoneticPr fontId="19"/>
  </si>
  <si>
    <t>15歳未満</t>
    <rPh sb="2" eb="3">
      <t>サイ</t>
    </rPh>
    <rPh sb="3" eb="5">
      <t>ミマン</t>
    </rPh>
    <phoneticPr fontId="19"/>
  </si>
  <si>
    <t>15～64歳</t>
    <rPh sb="5" eb="6">
      <t>サイ</t>
    </rPh>
    <phoneticPr fontId="19"/>
  </si>
  <si>
    <t>65歳以上</t>
    <rPh sb="2" eb="3">
      <t>サイ</t>
    </rPh>
    <rPh sb="3" eb="5">
      <t>イジョウ</t>
    </rPh>
    <phoneticPr fontId="19"/>
  </si>
  <si>
    <t>（9）  人口動態の推移①　（P44参照）</t>
    <rPh sb="5" eb="7">
      <t>ジンコウ</t>
    </rPh>
    <rPh sb="7" eb="9">
      <t>ドウタイ</t>
    </rPh>
    <rPh sb="10" eb="12">
      <t>スイイ</t>
    </rPh>
    <rPh sb="18" eb="20">
      <t>サンショウ</t>
    </rPh>
    <phoneticPr fontId="19"/>
  </si>
  <si>
    <t>人口増加</t>
    <rPh sb="0" eb="2">
      <t>ジンコウ</t>
    </rPh>
    <rPh sb="2" eb="4">
      <t>ゾウカ</t>
    </rPh>
    <phoneticPr fontId="19"/>
  </si>
  <si>
    <t>自然増加</t>
    <rPh sb="0" eb="2">
      <t>シゼン</t>
    </rPh>
    <rPh sb="2" eb="4">
      <t>ゾウカ</t>
    </rPh>
    <phoneticPr fontId="19"/>
  </si>
  <si>
    <t>社会増加</t>
    <rPh sb="0" eb="2">
      <t>シャカイ</t>
    </rPh>
    <rPh sb="2" eb="4">
      <t>ゾウカ</t>
    </rPh>
    <phoneticPr fontId="19"/>
  </si>
  <si>
    <t>（10）  人口動態の推移②　（P44参照）</t>
    <rPh sb="6" eb="8">
      <t>ジンコウ</t>
    </rPh>
    <rPh sb="8" eb="10">
      <t>ドウタイ</t>
    </rPh>
    <rPh sb="11" eb="13">
      <t>スイイ</t>
    </rPh>
    <rPh sb="19" eb="21">
      <t>サンショウ</t>
    </rPh>
    <phoneticPr fontId="19"/>
  </si>
  <si>
    <t>出生</t>
    <rPh sb="0" eb="2">
      <t>シュッセイ</t>
    </rPh>
    <phoneticPr fontId="19"/>
  </si>
  <si>
    <t>死亡</t>
    <rPh sb="0" eb="2">
      <t>シボウ</t>
    </rPh>
    <phoneticPr fontId="19"/>
  </si>
  <si>
    <t>転入</t>
    <rPh sb="0" eb="2">
      <t>テンニュウ</t>
    </rPh>
    <phoneticPr fontId="19"/>
  </si>
  <si>
    <t>転出</t>
    <rPh sb="0" eb="2">
      <t>テンシュツ</t>
    </rPh>
    <phoneticPr fontId="19"/>
  </si>
  <si>
    <t>（11）  国勢調査の人口の推移　（P48参照）</t>
    <rPh sb="6" eb="8">
      <t>コクセイ</t>
    </rPh>
    <rPh sb="8" eb="10">
      <t>チョウサ</t>
    </rPh>
    <rPh sb="11" eb="13">
      <t>ジンコウ</t>
    </rPh>
    <rPh sb="14" eb="16">
      <t>スイイ</t>
    </rPh>
    <rPh sb="21" eb="23">
      <t>サンショウ</t>
    </rPh>
    <phoneticPr fontId="19"/>
  </si>
  <si>
    <t>50年</t>
    <rPh sb="2" eb="3">
      <t>ネン</t>
    </rPh>
    <phoneticPr fontId="19"/>
  </si>
  <si>
    <t>55年</t>
    <rPh sb="2" eb="3">
      <t>ネン</t>
    </rPh>
    <phoneticPr fontId="19"/>
  </si>
  <si>
    <t>60年</t>
    <rPh sb="2" eb="3">
      <t>ネン</t>
    </rPh>
    <phoneticPr fontId="19"/>
  </si>
  <si>
    <t>12年</t>
    <rPh sb="2" eb="3">
      <t>ネン</t>
    </rPh>
    <phoneticPr fontId="19"/>
  </si>
  <si>
    <t>17年</t>
    <rPh sb="2" eb="3">
      <t>ネン</t>
    </rPh>
    <phoneticPr fontId="19"/>
  </si>
  <si>
    <t>　</t>
    <phoneticPr fontId="19"/>
  </si>
  <si>
    <t>（12）  人口集中地区の面積と人口　（P52・53参照）</t>
    <rPh sb="6" eb="8">
      <t>ジンコウ</t>
    </rPh>
    <rPh sb="8" eb="10">
      <t>シュウチュウ</t>
    </rPh>
    <rPh sb="10" eb="12">
      <t>チク</t>
    </rPh>
    <rPh sb="13" eb="15">
      <t>メンセキ</t>
    </rPh>
    <rPh sb="16" eb="18">
      <t>ジンコウ</t>
    </rPh>
    <rPh sb="26" eb="28">
      <t>サンショウ</t>
    </rPh>
    <phoneticPr fontId="19"/>
  </si>
  <si>
    <t>人口集中地区</t>
    <rPh sb="0" eb="2">
      <t>ジンコウ</t>
    </rPh>
    <rPh sb="2" eb="4">
      <t>シュウチュウ</t>
    </rPh>
    <rPh sb="4" eb="6">
      <t>チク</t>
    </rPh>
    <phoneticPr fontId="19"/>
  </si>
  <si>
    <t>人口集中地区外</t>
    <rPh sb="0" eb="2">
      <t>ジンコウ</t>
    </rPh>
    <rPh sb="2" eb="4">
      <t>シュウチュウ</t>
    </rPh>
    <rPh sb="4" eb="6">
      <t>チク</t>
    </rPh>
    <rPh sb="6" eb="7">
      <t>ガイ</t>
    </rPh>
    <phoneticPr fontId="19"/>
  </si>
  <si>
    <t>面積</t>
    <rPh sb="0" eb="2">
      <t>メンセキ</t>
    </rPh>
    <phoneticPr fontId="19"/>
  </si>
  <si>
    <t>人口</t>
    <rPh sb="0" eb="2">
      <t>ジンコウ</t>
    </rPh>
    <phoneticPr fontId="19"/>
  </si>
  <si>
    <t>※太線内の部分は、人口集中地区。</t>
    <rPh sb="1" eb="3">
      <t>フトセン</t>
    </rPh>
    <rPh sb="3" eb="4">
      <t>ナイ</t>
    </rPh>
    <rPh sb="5" eb="7">
      <t>ブブン</t>
    </rPh>
    <rPh sb="9" eb="11">
      <t>ジンコウ</t>
    </rPh>
    <rPh sb="11" eb="13">
      <t>シュウチュウ</t>
    </rPh>
    <rPh sb="13" eb="15">
      <t>チク</t>
    </rPh>
    <phoneticPr fontId="19"/>
  </si>
  <si>
    <t>年少人口</t>
    <rPh sb="0" eb="1">
      <t>トシ</t>
    </rPh>
    <rPh sb="1" eb="2">
      <t>ショウ</t>
    </rPh>
    <rPh sb="2" eb="3">
      <t>ヒト</t>
    </rPh>
    <rPh sb="3" eb="4">
      <t>クチ</t>
    </rPh>
    <phoneticPr fontId="19"/>
  </si>
  <si>
    <t>生産年齢人口</t>
    <rPh sb="0" eb="2">
      <t>セイサン</t>
    </rPh>
    <rPh sb="2" eb="4">
      <t>ネンレイ</t>
    </rPh>
    <rPh sb="4" eb="6">
      <t>ジンコウ</t>
    </rPh>
    <phoneticPr fontId="19"/>
  </si>
  <si>
    <t>老年人口</t>
    <rPh sb="0" eb="1">
      <t>ロウ</t>
    </rPh>
    <rPh sb="1" eb="2">
      <t>トシ</t>
    </rPh>
    <rPh sb="2" eb="3">
      <t>ヒト</t>
    </rPh>
    <rPh sb="3" eb="4">
      <t>クチ</t>
    </rPh>
    <phoneticPr fontId="19"/>
  </si>
  <si>
    <t>持ち家</t>
    <rPh sb="0" eb="1">
      <t>モ</t>
    </rPh>
    <rPh sb="2" eb="3">
      <t>イエ</t>
    </rPh>
    <phoneticPr fontId="19"/>
  </si>
  <si>
    <t>借家</t>
    <rPh sb="0" eb="2">
      <t>シャクヤ</t>
    </rPh>
    <phoneticPr fontId="19"/>
  </si>
  <si>
    <t>（単位：人、㎡）</t>
    <rPh sb="4" eb="5">
      <t>ヒト</t>
    </rPh>
    <phoneticPr fontId="19"/>
  </si>
  <si>
    <t xml:space="preserve">      住宅以外に住む一般世帯とは寄宿舎、老健施設等をいう。</t>
    <rPh sb="6" eb="8">
      <t>ジュウタク</t>
    </rPh>
    <rPh sb="8" eb="10">
      <t>イガイ</t>
    </rPh>
    <rPh sb="11" eb="12">
      <t>ス</t>
    </rPh>
    <rPh sb="13" eb="15">
      <t>イッパン</t>
    </rPh>
    <rPh sb="15" eb="17">
      <t>セタイ</t>
    </rPh>
    <rPh sb="19" eb="22">
      <t>キシュクシャ</t>
    </rPh>
    <rPh sb="23" eb="24">
      <t>ロウ</t>
    </rPh>
    <rPh sb="24" eb="25">
      <t>ケン</t>
    </rPh>
    <rPh sb="25" eb="28">
      <t>シセツトウ</t>
    </rPh>
    <phoneticPr fontId="19"/>
  </si>
  <si>
    <t>する人口</t>
    <phoneticPr fontId="19"/>
  </si>
  <si>
    <t>安川</t>
    <phoneticPr fontId="19"/>
  </si>
  <si>
    <t>（注）平成24年7月の「転入｣には、住基法改正により現住の外国人登録者の数を含む。</t>
    <rPh sb="1" eb="2">
      <t>チュウ</t>
    </rPh>
    <rPh sb="3" eb="5">
      <t>ヘイセイ</t>
    </rPh>
    <rPh sb="7" eb="8">
      <t>ネン</t>
    </rPh>
    <rPh sb="9" eb="10">
      <t>ガツ</t>
    </rPh>
    <rPh sb="12" eb="14">
      <t>テンニュウ</t>
    </rPh>
    <rPh sb="18" eb="19">
      <t>ジュウ</t>
    </rPh>
    <rPh sb="19" eb="20">
      <t>モト</t>
    </rPh>
    <rPh sb="20" eb="23">
      <t>ホウカイセイ</t>
    </rPh>
    <rPh sb="26" eb="28">
      <t>ゲンジュウ</t>
    </rPh>
    <rPh sb="29" eb="31">
      <t>ガイコク</t>
    </rPh>
    <rPh sb="31" eb="32">
      <t>ジン</t>
    </rPh>
    <rPh sb="32" eb="35">
      <t>トウロクシャ</t>
    </rPh>
    <rPh sb="36" eb="37">
      <t>カズ</t>
    </rPh>
    <rPh sb="38" eb="39">
      <t>フク</t>
    </rPh>
    <phoneticPr fontId="19"/>
  </si>
  <si>
    <t>世帯数</t>
    <rPh sb="0" eb="3">
      <t>セタイスウ</t>
    </rPh>
    <phoneticPr fontId="19"/>
  </si>
  <si>
    <t>(P50参照）</t>
    <phoneticPr fontId="19"/>
  </si>
  <si>
    <t>（P54参照）</t>
    <phoneticPr fontId="19"/>
  </si>
  <si>
    <t>総数</t>
    <rPh sb="0" eb="2">
      <t>ソウスウ</t>
    </rPh>
    <phoneticPr fontId="19"/>
  </si>
  <si>
    <t>増減数</t>
    <rPh sb="0" eb="2">
      <t>ゾウゲン</t>
    </rPh>
    <rPh sb="2" eb="3">
      <t>スウ</t>
    </rPh>
    <phoneticPr fontId="19"/>
  </si>
  <si>
    <t>韓国・朝鮮</t>
    <phoneticPr fontId="19"/>
  </si>
  <si>
    <t>減</t>
  </si>
  <si>
    <t>（注）平成24年7月以降、「人口」には住基法改正による外国人登録者を含む。</t>
    <rPh sb="1" eb="2">
      <t>チュウ</t>
    </rPh>
    <rPh sb="3" eb="5">
      <t>ヘイセイ</t>
    </rPh>
    <rPh sb="7" eb="8">
      <t>ネン</t>
    </rPh>
    <rPh sb="9" eb="10">
      <t>ガツ</t>
    </rPh>
    <rPh sb="10" eb="12">
      <t>イコウ</t>
    </rPh>
    <rPh sb="14" eb="16">
      <t>ジンコウ</t>
    </rPh>
    <rPh sb="19" eb="20">
      <t>ジュウ</t>
    </rPh>
    <rPh sb="20" eb="22">
      <t>モトノリ</t>
    </rPh>
    <rPh sb="22" eb="24">
      <t>カイセイ</t>
    </rPh>
    <rPh sb="27" eb="29">
      <t>ガイコク</t>
    </rPh>
    <rPh sb="29" eb="30">
      <t>ジン</t>
    </rPh>
    <rPh sb="30" eb="33">
      <t>トウロクシャ</t>
    </rPh>
    <rPh sb="34" eb="35">
      <t>フク</t>
    </rPh>
    <phoneticPr fontId="19"/>
  </si>
  <si>
    <t>（14）住宅の所有関係別一般世帯（国勢調査）</t>
  </si>
  <si>
    <t>（13）年齢階層別人口の構成（国勢調査）</t>
  </si>
  <si>
    <t xml:space="preserve">  ※  人口集中地区（Ｄ・Ｉ・Ｄｓ）とは、各市町村の境域内で人口密度の高い基本単位区（人口密度１平方</t>
    <rPh sb="38" eb="40">
      <t>キホン</t>
    </rPh>
    <rPh sb="40" eb="42">
      <t>タンイ</t>
    </rPh>
    <rPh sb="42" eb="43">
      <t>ク</t>
    </rPh>
    <phoneticPr fontId="19"/>
  </si>
  <si>
    <t>　　キロメートル当り 4,000人以上）が隣接して、それが人口 5,000人以上の地域を構成する地区のことであ</t>
    <phoneticPr fontId="19"/>
  </si>
  <si>
    <t>　　る。</t>
    <phoneticPr fontId="19"/>
  </si>
  <si>
    <t>その他(都道府県）</t>
    <rPh sb="2" eb="3">
      <t>タ</t>
    </rPh>
    <rPh sb="4" eb="8">
      <t>トドウフケン</t>
    </rPh>
    <phoneticPr fontId="19"/>
  </si>
  <si>
    <t>　一般世帯</t>
    <phoneticPr fontId="19"/>
  </si>
  <si>
    <t>ok</t>
    <phoneticPr fontId="19"/>
  </si>
  <si>
    <t>転 出</t>
    <phoneticPr fontId="19"/>
  </si>
  <si>
    <t>転 入</t>
    <phoneticPr fontId="19"/>
  </si>
  <si>
    <t>本　　市　　へ　　の　　転　　入</t>
    <phoneticPr fontId="19"/>
  </si>
  <si>
    <t>本　　市　　か　　ら　　の　　転　　出</t>
    <phoneticPr fontId="19"/>
  </si>
  <si>
    <t>順　位</t>
    <phoneticPr fontId="19"/>
  </si>
  <si>
    <t>都 道 府 県</t>
    <phoneticPr fontId="19"/>
  </si>
  <si>
    <t>移 動 数</t>
    <phoneticPr fontId="19"/>
  </si>
  <si>
    <t>順　位</t>
    <phoneticPr fontId="19"/>
  </si>
  <si>
    <t>都 道 府 県</t>
    <phoneticPr fontId="19"/>
  </si>
  <si>
    <t>移 動 数</t>
    <phoneticPr fontId="19"/>
  </si>
  <si>
    <t>６</t>
    <phoneticPr fontId="19"/>
  </si>
  <si>
    <t>総          数</t>
    <phoneticPr fontId="19"/>
  </si>
  <si>
    <t>総          数</t>
    <phoneticPr fontId="19"/>
  </si>
  <si>
    <t>ネパール</t>
    <phoneticPr fontId="19"/>
  </si>
  <si>
    <r>
      <t xml:space="preserve">23年 </t>
    </r>
    <r>
      <rPr>
        <sz val="10"/>
        <rFont val="ＭＳ 明朝"/>
        <family val="1"/>
        <charset val="128"/>
      </rPr>
      <t>３</t>
    </r>
    <r>
      <rPr>
        <sz val="10"/>
        <color indexed="9"/>
        <rFont val="ＭＳ 明朝"/>
        <family val="1"/>
        <charset val="128"/>
      </rPr>
      <t>月</t>
    </r>
    <phoneticPr fontId="19"/>
  </si>
  <si>
    <r>
      <t xml:space="preserve">23年 </t>
    </r>
    <r>
      <rPr>
        <sz val="10"/>
        <rFont val="ＭＳ 明朝"/>
        <family val="1"/>
        <charset val="128"/>
      </rPr>
      <t>４</t>
    </r>
    <r>
      <rPr>
        <sz val="10"/>
        <color indexed="9"/>
        <rFont val="ＭＳ 明朝"/>
        <family val="1"/>
        <charset val="128"/>
      </rPr>
      <t>月</t>
    </r>
    <phoneticPr fontId="19"/>
  </si>
  <si>
    <r>
      <t xml:space="preserve">23年 </t>
    </r>
    <r>
      <rPr>
        <sz val="10"/>
        <rFont val="ＭＳ 明朝"/>
        <family val="1"/>
        <charset val="128"/>
      </rPr>
      <t>５</t>
    </r>
    <r>
      <rPr>
        <sz val="10"/>
        <color indexed="9"/>
        <rFont val="ＭＳ 明朝"/>
        <family val="1"/>
        <charset val="128"/>
      </rPr>
      <t>月</t>
    </r>
    <phoneticPr fontId="19"/>
  </si>
  <si>
    <r>
      <t xml:space="preserve">23年 </t>
    </r>
    <r>
      <rPr>
        <sz val="10"/>
        <rFont val="ＭＳ 明朝"/>
        <family val="1"/>
        <charset val="128"/>
      </rPr>
      <t>６</t>
    </r>
    <r>
      <rPr>
        <sz val="10"/>
        <color indexed="9"/>
        <rFont val="ＭＳ 明朝"/>
        <family val="1"/>
        <charset val="128"/>
      </rPr>
      <t>月</t>
    </r>
    <phoneticPr fontId="19"/>
  </si>
  <si>
    <r>
      <t xml:space="preserve">23年 </t>
    </r>
    <r>
      <rPr>
        <sz val="10"/>
        <rFont val="ＭＳ 明朝"/>
        <family val="1"/>
        <charset val="128"/>
      </rPr>
      <t>７</t>
    </r>
    <r>
      <rPr>
        <sz val="10"/>
        <color indexed="9"/>
        <rFont val="ＭＳ 明朝"/>
        <family val="1"/>
        <charset val="128"/>
      </rPr>
      <t>月</t>
    </r>
    <phoneticPr fontId="19"/>
  </si>
  <si>
    <r>
      <t xml:space="preserve">23年 </t>
    </r>
    <r>
      <rPr>
        <sz val="10"/>
        <rFont val="ＭＳ 明朝"/>
        <family val="1"/>
        <charset val="128"/>
      </rPr>
      <t>８</t>
    </r>
    <r>
      <rPr>
        <sz val="10"/>
        <color indexed="9"/>
        <rFont val="ＭＳ 明朝"/>
        <family val="1"/>
        <charset val="128"/>
      </rPr>
      <t>月</t>
    </r>
    <phoneticPr fontId="19"/>
  </si>
  <si>
    <r>
      <t xml:space="preserve">23年 </t>
    </r>
    <r>
      <rPr>
        <sz val="10"/>
        <rFont val="ＭＳ 明朝"/>
        <family val="1"/>
        <charset val="128"/>
      </rPr>
      <t>９</t>
    </r>
    <r>
      <rPr>
        <sz val="10"/>
        <color indexed="9"/>
        <rFont val="ＭＳ 明朝"/>
        <family val="1"/>
        <charset val="128"/>
      </rPr>
      <t>月</t>
    </r>
    <phoneticPr fontId="19"/>
  </si>
  <si>
    <r>
      <t xml:space="preserve">23年 </t>
    </r>
    <r>
      <rPr>
        <sz val="10"/>
        <rFont val="ＭＳ 明朝"/>
        <family val="1"/>
        <charset val="128"/>
      </rPr>
      <t>10</t>
    </r>
    <r>
      <rPr>
        <sz val="10"/>
        <color indexed="9"/>
        <rFont val="ＭＳ 明朝"/>
        <family val="1"/>
        <charset val="128"/>
      </rPr>
      <t>月</t>
    </r>
    <phoneticPr fontId="19"/>
  </si>
  <si>
    <r>
      <t xml:space="preserve">23年 </t>
    </r>
    <r>
      <rPr>
        <sz val="10"/>
        <rFont val="ＭＳ 明朝"/>
        <family val="1"/>
        <charset val="128"/>
      </rPr>
      <t>11</t>
    </r>
    <r>
      <rPr>
        <sz val="10"/>
        <color indexed="9"/>
        <rFont val="ＭＳ 明朝"/>
        <family val="1"/>
        <charset val="128"/>
      </rPr>
      <t>月</t>
    </r>
    <phoneticPr fontId="19"/>
  </si>
  <si>
    <r>
      <t xml:space="preserve">23年 </t>
    </r>
    <r>
      <rPr>
        <sz val="10"/>
        <rFont val="ＭＳ 明朝"/>
        <family val="1"/>
        <charset val="128"/>
      </rPr>
      <t>12</t>
    </r>
    <r>
      <rPr>
        <sz val="10"/>
        <color indexed="9"/>
        <rFont val="ＭＳ 明朝"/>
        <family val="1"/>
        <charset val="128"/>
      </rPr>
      <t>月</t>
    </r>
    <phoneticPr fontId="19"/>
  </si>
  <si>
    <r>
      <t xml:space="preserve">23年 </t>
    </r>
    <r>
      <rPr>
        <sz val="10"/>
        <rFont val="ＭＳ 明朝"/>
        <family val="1"/>
        <charset val="128"/>
      </rPr>
      <t>２</t>
    </r>
    <r>
      <rPr>
        <sz val="10"/>
        <color theme="0"/>
        <rFont val="ＭＳ 明朝"/>
        <family val="1"/>
        <charset val="128"/>
      </rPr>
      <t>月</t>
    </r>
    <rPh sb="5" eb="6">
      <t>ガツ</t>
    </rPh>
    <phoneticPr fontId="19"/>
  </si>
  <si>
    <t>（注）平成23年版より、国名にネパールを追加した。</t>
    <rPh sb="1" eb="2">
      <t>チュウ</t>
    </rPh>
    <rPh sb="3" eb="5">
      <t>ヘイセイ</t>
    </rPh>
    <rPh sb="7" eb="8">
      <t>ネン</t>
    </rPh>
    <rPh sb="8" eb="9">
      <t>バン</t>
    </rPh>
    <rPh sb="12" eb="14">
      <t>コクメイ</t>
    </rPh>
    <rPh sb="20" eb="22">
      <t>ツイカ</t>
    </rPh>
    <phoneticPr fontId="19"/>
  </si>
  <si>
    <r>
      <rPr>
        <sz val="10"/>
        <color indexed="9"/>
        <rFont val="ＭＳ 明朝"/>
        <family val="1"/>
        <charset val="128"/>
      </rPr>
      <t>平成</t>
    </r>
    <r>
      <rPr>
        <sz val="10"/>
        <rFont val="ＭＳ 明朝"/>
        <family val="1"/>
        <charset val="128"/>
      </rPr>
      <t>21</t>
    </r>
    <r>
      <rPr>
        <sz val="10"/>
        <color theme="0"/>
        <rFont val="ＭＳ 明朝"/>
        <family val="1"/>
        <charset val="128"/>
      </rPr>
      <t>年</t>
    </r>
    <r>
      <rPr>
        <sz val="10"/>
        <color indexed="9"/>
        <rFont val="ＭＳ 明朝"/>
        <family val="1"/>
        <charset val="128"/>
      </rPr>
      <t/>
    </r>
    <rPh sb="0" eb="2">
      <t>ヘイセイ</t>
    </rPh>
    <rPh sb="4" eb="5">
      <t>ネン</t>
    </rPh>
    <phoneticPr fontId="19"/>
  </si>
  <si>
    <r>
      <rPr>
        <sz val="10"/>
        <color indexed="9"/>
        <rFont val="ＭＳ 明朝"/>
        <family val="1"/>
        <charset val="128"/>
      </rPr>
      <t>平成</t>
    </r>
    <r>
      <rPr>
        <sz val="10"/>
        <rFont val="ＭＳ 明朝"/>
        <family val="1"/>
        <charset val="128"/>
      </rPr>
      <t>22</t>
    </r>
    <r>
      <rPr>
        <sz val="10"/>
        <color theme="0"/>
        <rFont val="ＭＳ 明朝"/>
        <family val="1"/>
        <charset val="128"/>
      </rPr>
      <t>年</t>
    </r>
    <r>
      <rPr>
        <sz val="10"/>
        <color indexed="9"/>
        <rFont val="ＭＳ 明朝"/>
        <family val="1"/>
        <charset val="128"/>
      </rPr>
      <t/>
    </r>
    <rPh sb="0" eb="2">
      <t>ヘイセイ</t>
    </rPh>
    <rPh sb="4" eb="5">
      <t>ネン</t>
    </rPh>
    <phoneticPr fontId="19"/>
  </si>
  <si>
    <r>
      <rPr>
        <sz val="10"/>
        <color indexed="9"/>
        <rFont val="ＭＳ 明朝"/>
        <family val="1"/>
        <charset val="128"/>
      </rPr>
      <t>平成</t>
    </r>
    <r>
      <rPr>
        <sz val="10"/>
        <rFont val="ＭＳ 明朝"/>
        <family val="1"/>
        <charset val="128"/>
      </rPr>
      <t>23</t>
    </r>
    <r>
      <rPr>
        <sz val="10"/>
        <color theme="0"/>
        <rFont val="ＭＳ 明朝"/>
        <family val="1"/>
        <charset val="128"/>
      </rPr>
      <t>年</t>
    </r>
    <r>
      <rPr>
        <sz val="10"/>
        <color indexed="9"/>
        <rFont val="ＭＳ 明朝"/>
        <family val="1"/>
        <charset val="128"/>
      </rPr>
      <t/>
    </r>
    <rPh sb="0" eb="2">
      <t>ヘイセイ</t>
    </rPh>
    <rPh sb="4" eb="5">
      <t>ネン</t>
    </rPh>
    <phoneticPr fontId="19"/>
  </si>
  <si>
    <r>
      <rPr>
        <sz val="10"/>
        <color indexed="9"/>
        <rFont val="ＭＳ 明朝"/>
        <family val="1"/>
        <charset val="128"/>
      </rPr>
      <t>平成</t>
    </r>
    <r>
      <rPr>
        <sz val="10"/>
        <rFont val="ＭＳ 明朝"/>
        <family val="1"/>
        <charset val="128"/>
      </rPr>
      <t>24</t>
    </r>
    <r>
      <rPr>
        <sz val="10"/>
        <color theme="0"/>
        <rFont val="ＭＳ 明朝"/>
        <family val="1"/>
        <charset val="128"/>
      </rPr>
      <t>年</t>
    </r>
    <r>
      <rPr>
        <sz val="10"/>
        <color indexed="9"/>
        <rFont val="ＭＳ 明朝"/>
        <family val="1"/>
        <charset val="128"/>
      </rPr>
      <t/>
    </r>
    <rPh sb="0" eb="2">
      <t>ヘイセイ</t>
    </rPh>
    <rPh sb="4" eb="5">
      <t>ネン</t>
    </rPh>
    <phoneticPr fontId="19"/>
  </si>
  <si>
    <r>
      <rPr>
        <sz val="10"/>
        <color indexed="9"/>
        <rFont val="ＭＳ 明朝"/>
        <family val="1"/>
        <charset val="128"/>
      </rPr>
      <t>平成</t>
    </r>
    <r>
      <rPr>
        <sz val="10"/>
        <rFont val="ＭＳ 明朝"/>
        <family val="1"/>
        <charset val="128"/>
      </rPr>
      <t>25</t>
    </r>
    <r>
      <rPr>
        <sz val="10"/>
        <color theme="0"/>
        <rFont val="ＭＳ 明朝"/>
        <family val="1"/>
        <charset val="128"/>
      </rPr>
      <t>年</t>
    </r>
    <r>
      <rPr>
        <sz val="10"/>
        <color indexed="9"/>
        <rFont val="ＭＳ 明朝"/>
        <family val="1"/>
        <charset val="128"/>
      </rPr>
      <t/>
    </r>
    <rPh sb="0" eb="2">
      <t>ヘイセイ</t>
    </rPh>
    <rPh sb="4" eb="5">
      <t>ネン</t>
    </rPh>
    <phoneticPr fontId="19"/>
  </si>
  <si>
    <r>
      <rPr>
        <sz val="10"/>
        <color indexed="9"/>
        <rFont val="ＭＳ 明朝"/>
        <family val="1"/>
        <charset val="128"/>
      </rPr>
      <t>平成</t>
    </r>
    <r>
      <rPr>
        <sz val="10"/>
        <rFont val="ＭＳ 明朝"/>
        <family val="1"/>
        <charset val="128"/>
      </rPr>
      <t>26</t>
    </r>
    <r>
      <rPr>
        <sz val="10"/>
        <color theme="0"/>
        <rFont val="ＭＳ 明朝"/>
        <family val="1"/>
        <charset val="128"/>
      </rPr>
      <t>年</t>
    </r>
    <r>
      <rPr>
        <sz val="10"/>
        <color indexed="9"/>
        <rFont val="ＭＳ 明朝"/>
        <family val="1"/>
        <charset val="128"/>
      </rPr>
      <t/>
    </r>
    <rPh sb="0" eb="2">
      <t>ヘイセイ</t>
    </rPh>
    <rPh sb="4" eb="5">
      <t>ネン</t>
    </rPh>
    <phoneticPr fontId="19"/>
  </si>
  <si>
    <t>実　　　　　数</t>
    <phoneticPr fontId="19"/>
  </si>
  <si>
    <t>実　　　　　数</t>
    <phoneticPr fontId="19"/>
  </si>
  <si>
    <t>　　人　　　　口　　　増</t>
    <rPh sb="11" eb="12">
      <t>ゾウ</t>
    </rPh>
    <phoneticPr fontId="19"/>
  </si>
  <si>
    <t>沖　縄　県　</t>
    <phoneticPr fontId="19"/>
  </si>
  <si>
    <t>住　　　宅</t>
    <phoneticPr fontId="19"/>
  </si>
  <si>
    <t xml:space="preserve">      玄関、台所、廊下、便所、浴室、押し入れなども含めた床面積の合計をいう。</t>
    <rPh sb="6" eb="8">
      <t>ゲンカン</t>
    </rPh>
    <rPh sb="9" eb="11">
      <t>ダイドコロ</t>
    </rPh>
    <phoneticPr fontId="19"/>
  </si>
  <si>
    <t>（注）延べ面積とは、各居住室の床面積のほか、その住宅に含まれる</t>
    <phoneticPr fontId="19"/>
  </si>
  <si>
    <t>平成2年</t>
    <rPh sb="0" eb="2">
      <t>ヘイセイ</t>
    </rPh>
    <rPh sb="3" eb="4">
      <t>ネン</t>
    </rPh>
    <phoneticPr fontId="19"/>
  </si>
  <si>
    <t>7年</t>
    <rPh sb="1" eb="2">
      <t>ネン</t>
    </rPh>
    <phoneticPr fontId="19"/>
  </si>
  <si>
    <t>平成26年</t>
    <phoneticPr fontId="19"/>
  </si>
  <si>
    <t>平成27年</t>
    <phoneticPr fontId="19"/>
  </si>
  <si>
    <t>平成21年</t>
    <phoneticPr fontId="19"/>
  </si>
  <si>
    <t>平成22年</t>
    <phoneticPr fontId="19"/>
  </si>
  <si>
    <t>平成23年</t>
    <phoneticPr fontId="19"/>
  </si>
  <si>
    <t>平成24年</t>
    <phoneticPr fontId="19"/>
  </si>
  <si>
    <t>平成25年</t>
    <phoneticPr fontId="19"/>
  </si>
  <si>
    <r>
      <rPr>
        <sz val="10"/>
        <color indexed="9"/>
        <rFont val="ＭＳ 明朝"/>
        <family val="1"/>
        <charset val="128"/>
      </rPr>
      <t>平成</t>
    </r>
    <r>
      <rPr>
        <sz val="10"/>
        <rFont val="ＭＳ 明朝"/>
        <family val="1"/>
        <charset val="128"/>
      </rPr>
      <t>27</t>
    </r>
    <r>
      <rPr>
        <sz val="10"/>
        <color theme="0"/>
        <rFont val="ＭＳ 明朝"/>
        <family val="1"/>
        <charset val="128"/>
      </rPr>
      <t>年</t>
    </r>
    <r>
      <rPr>
        <sz val="10"/>
        <color indexed="9"/>
        <rFont val="ＭＳ 明朝"/>
        <family val="1"/>
        <charset val="128"/>
      </rPr>
      <t/>
    </r>
    <rPh sb="0" eb="2">
      <t>ヘイセイ</t>
    </rPh>
    <rPh sb="4" eb="5">
      <t>ネン</t>
    </rPh>
    <phoneticPr fontId="19"/>
  </si>
  <si>
    <r>
      <rPr>
        <sz val="10"/>
        <color theme="0"/>
        <rFont val="ＭＳ 明朝"/>
        <family val="1"/>
        <charset val="128"/>
      </rPr>
      <t>平成</t>
    </r>
    <r>
      <rPr>
        <sz val="10"/>
        <rFont val="ＭＳ 明朝"/>
        <family val="1"/>
        <charset val="128"/>
      </rPr>
      <t>20</t>
    </r>
    <r>
      <rPr>
        <sz val="10"/>
        <color theme="0"/>
        <rFont val="ＭＳ 明朝"/>
        <family val="1"/>
        <charset val="128"/>
      </rPr>
      <t>年</t>
    </r>
    <rPh sb="0" eb="2">
      <t>ヘイセイ</t>
    </rPh>
    <rPh sb="4" eb="5">
      <t>ネン</t>
    </rPh>
    <phoneticPr fontId="19"/>
  </si>
  <si>
    <t>東京都</t>
    <rPh sb="0" eb="3">
      <t>トウキョウト</t>
    </rPh>
    <phoneticPr fontId="19"/>
  </si>
  <si>
    <t>神奈川県</t>
    <rPh sb="0" eb="4">
      <t>カナガワケン</t>
    </rPh>
    <phoneticPr fontId="19"/>
  </si>
  <si>
    <t>福岡県</t>
    <rPh sb="0" eb="3">
      <t>フクオカケン</t>
    </rPh>
    <phoneticPr fontId="19"/>
  </si>
  <si>
    <t>愛知県</t>
    <rPh sb="0" eb="3">
      <t>アイチケン</t>
    </rPh>
    <phoneticPr fontId="19"/>
  </si>
  <si>
    <t>大阪府</t>
    <rPh sb="0" eb="3">
      <t>オオサカフ</t>
    </rPh>
    <phoneticPr fontId="19"/>
  </si>
  <si>
    <t>千葉県</t>
    <rPh sb="0" eb="3">
      <t>チバケン</t>
    </rPh>
    <phoneticPr fontId="19"/>
  </si>
  <si>
    <t>埼玉県</t>
    <rPh sb="0" eb="3">
      <t>サイタマケン</t>
    </rPh>
    <phoneticPr fontId="19"/>
  </si>
  <si>
    <t>鹿児島県</t>
    <rPh sb="0" eb="4">
      <t>カゴシマケン</t>
    </rPh>
    <phoneticPr fontId="19"/>
  </si>
  <si>
    <t>兵庫県</t>
    <rPh sb="0" eb="3">
      <t>ヒョウゴケン</t>
    </rPh>
    <phoneticPr fontId="19"/>
  </si>
  <si>
    <t>栃木県</t>
    <rPh sb="0" eb="3">
      <t>トチギケン</t>
    </rPh>
    <phoneticPr fontId="19"/>
  </si>
  <si>
    <t>京都府</t>
    <rPh sb="0" eb="3">
      <t>キョウトフ</t>
    </rPh>
    <phoneticPr fontId="19"/>
  </si>
  <si>
    <t>（注）県営経塚団地、浦添市街地住宅は、平成19年4月1日認可。</t>
    <phoneticPr fontId="19"/>
  </si>
  <si>
    <t xml:space="preserve">      県営沢岻高層住宅は、平成20年4月1日認可。陽迎橋は、平成21年4月1日認可。     </t>
    <phoneticPr fontId="19"/>
  </si>
  <si>
    <t>平成17年</t>
    <rPh sb="0" eb="2">
      <t>ヘイセイ</t>
    </rPh>
    <rPh sb="4" eb="5">
      <t>ネン</t>
    </rPh>
    <phoneticPr fontId="19"/>
  </si>
  <si>
    <t>　　  平成26年に国土地理院による面積調べの測定方法に変更があり総面積が増えたが、実質的な面積の増減は</t>
    <rPh sb="33" eb="36">
      <t>ソウメンセキ</t>
    </rPh>
    <rPh sb="37" eb="38">
      <t>フ</t>
    </rPh>
    <phoneticPr fontId="19"/>
  </si>
  <si>
    <t>　　　ないため、字別面積は構成比に応じて算出している。</t>
    <rPh sb="8" eb="9">
      <t>アザ</t>
    </rPh>
    <rPh sb="9" eb="10">
      <t>ベツ</t>
    </rPh>
    <rPh sb="10" eb="12">
      <t>メンセキ</t>
    </rPh>
    <phoneticPr fontId="19"/>
  </si>
  <si>
    <t>　　　（小数点第2位で四捨五入しているため総数とは一致しない。）</t>
    <phoneticPr fontId="19"/>
  </si>
  <si>
    <t>（23）  市町村別人口移動状況(平成28年１月１日～12月31日）</t>
    <phoneticPr fontId="19"/>
  </si>
  <si>
    <t>（24）  都道府県別人口移動状況（平成28年１月１日～12月31日）</t>
    <phoneticPr fontId="19"/>
  </si>
  <si>
    <t xml:space="preserve">（18）  年齢（各歳）別、男女別人口（平成28年12月末日現在）                                                                  </t>
    <phoneticPr fontId="19"/>
  </si>
  <si>
    <t>平成28年</t>
    <phoneticPr fontId="19"/>
  </si>
  <si>
    <r>
      <t>平成12年度</t>
    </r>
    <r>
      <rPr>
        <sz val="10"/>
        <color indexed="9"/>
        <rFont val="ＭＳ 明朝"/>
        <family val="1"/>
        <charset val="128"/>
      </rPr>
      <t>年</t>
    </r>
    <rPh sb="0" eb="2">
      <t>ヘイセイ</t>
    </rPh>
    <rPh sb="4" eb="6">
      <t>ネンド</t>
    </rPh>
    <rPh sb="6" eb="7">
      <t>ネン</t>
    </rPh>
    <phoneticPr fontId="19"/>
  </si>
  <si>
    <t>28年１月</t>
    <phoneticPr fontId="19"/>
  </si>
  <si>
    <r>
      <rPr>
        <sz val="10"/>
        <color theme="0"/>
        <rFont val="ＭＳ 明朝"/>
        <family val="1"/>
        <charset val="128"/>
      </rPr>
      <t>平成</t>
    </r>
    <r>
      <rPr>
        <sz val="10"/>
        <rFont val="ＭＳ 明朝"/>
        <family val="1"/>
        <charset val="128"/>
      </rPr>
      <t>28</t>
    </r>
    <rPh sb="0" eb="2">
      <t>ヘイセイ</t>
    </rPh>
    <phoneticPr fontId="19"/>
  </si>
  <si>
    <t>平成19</t>
    <rPh sb="0" eb="2">
      <t>ヘイセイ</t>
    </rPh>
    <phoneticPr fontId="19"/>
  </si>
  <si>
    <t>平成27年</t>
    <phoneticPr fontId="19"/>
  </si>
  <si>
    <t>平成28年</t>
    <phoneticPr fontId="19"/>
  </si>
  <si>
    <t>人  口（平成28年）</t>
    <phoneticPr fontId="19"/>
  </si>
  <si>
    <t>Ａ</t>
    <phoneticPr fontId="19"/>
  </si>
  <si>
    <t>Ｃ</t>
    <phoneticPr fontId="19"/>
  </si>
  <si>
    <t>Ａ</t>
    <phoneticPr fontId="19"/>
  </si>
  <si>
    <t>△Ｄ</t>
    <phoneticPr fontId="19"/>
  </si>
  <si>
    <t>Ｂ</t>
    <phoneticPr fontId="19"/>
  </si>
  <si>
    <t>Ｂ</t>
    <phoneticPr fontId="19"/>
  </si>
  <si>
    <t>平　成　２２　年　～　平　成　２７　年</t>
    <phoneticPr fontId="19"/>
  </si>
  <si>
    <t>平成22年</t>
    <phoneticPr fontId="19"/>
  </si>
  <si>
    <t>（注） 面積は国土交通省国土地理院「平成27年全国都道府県市区町村別面積調」による。</t>
    <rPh sb="7" eb="9">
      <t>コクド</t>
    </rPh>
    <rPh sb="9" eb="11">
      <t>コウツウ</t>
    </rPh>
    <phoneticPr fontId="19"/>
  </si>
  <si>
    <t>うるま市</t>
    <rPh sb="3" eb="4">
      <t>シ</t>
    </rPh>
    <phoneticPr fontId="19"/>
  </si>
  <si>
    <t>宮古島市</t>
    <rPh sb="0" eb="4">
      <t>ミヤコジマシ</t>
    </rPh>
    <phoneticPr fontId="19"/>
  </si>
  <si>
    <t>②自然増加・・・沖縄県企画開発部「人口移動報告年報」より、各年10月～９月までの数値を合計し、</t>
    <phoneticPr fontId="19"/>
  </si>
  <si>
    <t xml:space="preserve">                ５年分を算出した。</t>
    <phoneticPr fontId="19"/>
  </si>
  <si>
    <t>①人口増加・・・国勢調査人口によって、各調査年の10月1日現在の人口から５年間の動きを算出した。</t>
    <phoneticPr fontId="19"/>
  </si>
  <si>
    <t>③出生死亡数法・ある期間内の人口増加と自然増加（出生数と死亡数）から、同期間内の社会増加を</t>
    <phoneticPr fontId="19"/>
  </si>
  <si>
    <t xml:space="preserve">                求める。 人口増加－自然増加＝社会増加</t>
    <phoneticPr fontId="19"/>
  </si>
  <si>
    <t>※算出方法</t>
    <rPh sb="1" eb="3">
      <t>サンシュツ</t>
    </rPh>
    <rPh sb="3" eb="5">
      <t>ホウホウ</t>
    </rPh>
    <phoneticPr fontId="19"/>
  </si>
  <si>
    <t>南城市</t>
    <rPh sb="0" eb="3">
      <t>ナンジョウシ</t>
    </rPh>
    <phoneticPr fontId="19"/>
  </si>
  <si>
    <t>（旧石川市）</t>
    <rPh sb="1" eb="2">
      <t>キュウ</t>
    </rPh>
    <phoneticPr fontId="19"/>
  </si>
  <si>
    <t>（旧具志川市）</t>
    <rPh sb="1" eb="2">
      <t>キュウ</t>
    </rPh>
    <phoneticPr fontId="19"/>
  </si>
  <si>
    <t>（旧平良市）</t>
    <rPh sb="1" eb="2">
      <t>キュウ</t>
    </rPh>
    <phoneticPr fontId="19"/>
  </si>
  <si>
    <t>Ａ</t>
    <phoneticPr fontId="19"/>
  </si>
  <si>
    <t>Ｂ</t>
    <phoneticPr fontId="19"/>
  </si>
  <si>
    <t>△Ｃ</t>
    <phoneticPr fontId="19"/>
  </si>
  <si>
    <t>Ｄ</t>
    <phoneticPr fontId="19"/>
  </si>
  <si>
    <t>△Ｄ</t>
    <phoneticPr fontId="19"/>
  </si>
  <si>
    <t>資料：平成27年国勢調査</t>
    <phoneticPr fontId="19"/>
  </si>
  <si>
    <t>（25)   平成27年国勢調査による市町村別人口</t>
    <phoneticPr fontId="19"/>
  </si>
  <si>
    <t>（25)   平成27年国勢調査による市町村別人口（続き）</t>
    <phoneticPr fontId="19"/>
  </si>
  <si>
    <t>平成22年</t>
    <phoneticPr fontId="19"/>
  </si>
  <si>
    <t>平成27年</t>
    <phoneticPr fontId="19"/>
  </si>
  <si>
    <t>平成27年</t>
    <phoneticPr fontId="19"/>
  </si>
  <si>
    <t xml:space="preserve"> 平成22年との人口比較</t>
    <phoneticPr fontId="19"/>
  </si>
  <si>
    <t>平成27年国調人口</t>
    <phoneticPr fontId="19"/>
  </si>
  <si>
    <t xml:space="preserve">　平成27年10月１日現在の沖縄県の総人口は、 1,433,566人で前回調査の平成22年と比べ 40,748人増加している。人口を市町村別にみると市部では、①那覇市が319,435人（県人口の22.3％）で最も多く、次いで②沖縄市が139,279人（同 9.7％）、③うるま市 118,898人（同 8.3％）、④本市 114,232人(同8.0％）、⑤宜野湾市96,243人（同6.7％）の順となっている。地域別の人口構成では、那覇市を中心とする中南部に人口が集中している。
　沖縄県の対前回増加率は 2.9％で、平成22年の 2.3％と比べ0.6ポイントの増加となった。本市における対前回増加率は3.5％で、前回の4.1％に比べ0.6ポイント減少している。 </t>
    <rPh sb="281" eb="283">
      <t>ゾウカ</t>
    </rPh>
    <rPh sb="315" eb="316">
      <t>クラ</t>
    </rPh>
    <rPh sb="324" eb="326">
      <t>ゲンショウ</t>
    </rPh>
    <phoneticPr fontId="19"/>
  </si>
  <si>
    <t>昭和10年</t>
    <rPh sb="0" eb="2">
      <t>ショウワ</t>
    </rPh>
    <rPh sb="4" eb="5">
      <t>ネン</t>
    </rPh>
    <phoneticPr fontId="19"/>
  </si>
  <si>
    <t>27</t>
    <phoneticPr fontId="19"/>
  </si>
  <si>
    <t>資料：平成27年国勢調査</t>
    <phoneticPr fontId="19"/>
  </si>
  <si>
    <t>平成27年</t>
    <phoneticPr fontId="19"/>
  </si>
  <si>
    <t>資料：平成27年国勢調査</t>
    <phoneticPr fontId="19"/>
  </si>
  <si>
    <t>（注）平成１７年のみ配偶関係「不詳」を含む。</t>
    <rPh sb="3" eb="5">
      <t>ヘイセイ</t>
    </rPh>
    <rPh sb="7" eb="8">
      <t>ネン</t>
    </rPh>
    <phoneticPr fontId="19"/>
  </si>
  <si>
    <t>資料：平成27年国勢調査</t>
    <phoneticPr fontId="19"/>
  </si>
  <si>
    <t>資料：平成27年国勢調査</t>
    <phoneticPr fontId="19"/>
  </si>
  <si>
    <t>平 成 12 年</t>
    <phoneticPr fontId="19"/>
  </si>
  <si>
    <r>
      <rPr>
        <sz val="10"/>
        <color indexed="9"/>
        <rFont val="ＭＳ 明朝"/>
        <family val="1"/>
        <charset val="128"/>
      </rPr>
      <t xml:space="preserve">平 成 </t>
    </r>
    <r>
      <rPr>
        <sz val="10"/>
        <rFont val="ＭＳ 明朝"/>
        <family val="1"/>
        <charset val="128"/>
      </rPr>
      <t xml:space="preserve">17 </t>
    </r>
    <r>
      <rPr>
        <sz val="10"/>
        <color indexed="9"/>
        <rFont val="ＭＳ 明朝"/>
        <family val="1"/>
        <charset val="128"/>
      </rPr>
      <t>年</t>
    </r>
    <phoneticPr fontId="19"/>
  </si>
  <si>
    <r>
      <rPr>
        <sz val="10"/>
        <color theme="0"/>
        <rFont val="ＭＳ 明朝"/>
        <family val="1"/>
        <charset val="128"/>
      </rPr>
      <t>平 成</t>
    </r>
    <r>
      <rPr>
        <sz val="10"/>
        <rFont val="ＭＳ 明朝"/>
        <family val="1"/>
        <charset val="128"/>
      </rPr>
      <t xml:space="preserve"> 22 </t>
    </r>
    <r>
      <rPr>
        <sz val="10"/>
        <color theme="0"/>
        <rFont val="ＭＳ 明朝"/>
        <family val="1"/>
        <charset val="128"/>
      </rPr>
      <t>年</t>
    </r>
    <phoneticPr fontId="19"/>
  </si>
  <si>
    <r>
      <rPr>
        <b/>
        <sz val="10"/>
        <color indexed="9"/>
        <rFont val="ＭＳ 明朝"/>
        <family val="1"/>
        <charset val="128"/>
      </rPr>
      <t>平 成</t>
    </r>
    <r>
      <rPr>
        <b/>
        <sz val="10"/>
        <rFont val="ＭＳ 明朝"/>
        <family val="1"/>
        <charset val="128"/>
      </rPr>
      <t xml:space="preserve"> 27 </t>
    </r>
    <r>
      <rPr>
        <b/>
        <sz val="10"/>
        <color indexed="9"/>
        <rFont val="ＭＳ 明朝"/>
        <family val="1"/>
        <charset val="128"/>
      </rPr>
      <t>年</t>
    </r>
    <phoneticPr fontId="19"/>
  </si>
  <si>
    <t>12</t>
    <phoneticPr fontId="19"/>
  </si>
  <si>
    <t>27</t>
    <phoneticPr fontId="19"/>
  </si>
  <si>
    <r>
      <rPr>
        <sz val="10"/>
        <color indexed="9"/>
        <rFont val="ＭＳ 明朝"/>
        <family val="1"/>
        <charset val="128"/>
      </rPr>
      <t>平　成　</t>
    </r>
    <r>
      <rPr>
        <sz val="10"/>
        <rFont val="ＭＳ 明朝"/>
        <family val="1"/>
        <charset val="128"/>
      </rPr>
      <t>1 2　</t>
    </r>
    <r>
      <rPr>
        <sz val="10"/>
        <color indexed="9"/>
        <rFont val="ＭＳ 明朝"/>
        <family val="1"/>
        <charset val="128"/>
      </rPr>
      <t>年</t>
    </r>
    <rPh sb="0" eb="1">
      <t>ヒラ</t>
    </rPh>
    <rPh sb="2" eb="3">
      <t>シゲル</t>
    </rPh>
    <rPh sb="8" eb="9">
      <t>ネン</t>
    </rPh>
    <phoneticPr fontId="19"/>
  </si>
  <si>
    <r>
      <rPr>
        <sz val="10"/>
        <color indexed="9"/>
        <rFont val="ＭＳ 明朝"/>
        <family val="1"/>
        <charset val="128"/>
      </rPr>
      <t>平　成　</t>
    </r>
    <r>
      <rPr>
        <sz val="10"/>
        <rFont val="ＭＳ 明朝"/>
        <family val="1"/>
        <charset val="128"/>
      </rPr>
      <t>1 7　</t>
    </r>
    <r>
      <rPr>
        <sz val="10"/>
        <color indexed="9"/>
        <rFont val="ＭＳ 明朝"/>
        <family val="1"/>
        <charset val="128"/>
      </rPr>
      <t>年</t>
    </r>
    <r>
      <rPr>
        <sz val="10"/>
        <rFont val="ＭＳ 明朝"/>
        <family val="1"/>
        <charset val="128"/>
      </rPr>
      <t>　</t>
    </r>
    <rPh sb="0" eb="1">
      <t>ヒラ</t>
    </rPh>
    <rPh sb="2" eb="3">
      <t>シゲル</t>
    </rPh>
    <phoneticPr fontId="19"/>
  </si>
  <si>
    <r>
      <rPr>
        <b/>
        <sz val="10"/>
        <color indexed="9"/>
        <rFont val="ＭＳ 明朝"/>
        <family val="1"/>
        <charset val="128"/>
      </rPr>
      <t xml:space="preserve">平　成  </t>
    </r>
    <r>
      <rPr>
        <b/>
        <sz val="10"/>
        <rFont val="ＭＳ 明朝"/>
        <family val="1"/>
        <charset val="128"/>
      </rPr>
      <t xml:space="preserve">2 7 </t>
    </r>
    <r>
      <rPr>
        <b/>
        <sz val="10"/>
        <color indexed="9"/>
        <rFont val="ＭＳ 明朝"/>
        <family val="1"/>
        <charset val="128"/>
      </rPr>
      <t>年　</t>
    </r>
    <rPh sb="0" eb="1">
      <t>ヒラ</t>
    </rPh>
    <rPh sb="2" eb="3">
      <t>シゲル</t>
    </rPh>
    <phoneticPr fontId="19"/>
  </si>
  <si>
    <r>
      <rPr>
        <sz val="10"/>
        <color indexed="9"/>
        <rFont val="ＭＳ 明朝"/>
        <family val="1"/>
        <charset val="128"/>
      </rPr>
      <t>平　成　</t>
    </r>
    <r>
      <rPr>
        <sz val="10"/>
        <rFont val="ＭＳ 明朝"/>
        <family val="1"/>
        <charset val="128"/>
      </rPr>
      <t xml:space="preserve">2 2  </t>
    </r>
    <r>
      <rPr>
        <sz val="10"/>
        <color indexed="9"/>
        <rFont val="ＭＳ 明朝"/>
        <family val="1"/>
        <charset val="128"/>
      </rPr>
      <t>年　</t>
    </r>
    <rPh sb="0" eb="1">
      <t>ヒラ</t>
    </rPh>
    <rPh sb="2" eb="3">
      <t>シゲル</t>
    </rPh>
    <phoneticPr fontId="19"/>
  </si>
  <si>
    <t>　また、生産年齢人口は前回より61人（0.1%）減少し、従属人口指数（子供や老人を養う負担の度合）は
4.5ポイント増加、平成27年では55.6％となっている。老年化指数においては、93.1%で前回より18.6ポイント増加している。
　</t>
    <rPh sb="24" eb="26">
      <t>ゲンショウ</t>
    </rPh>
    <phoneticPr fontId="19"/>
  </si>
  <si>
    <t>平　成　1 2　年</t>
    <rPh sb="0" eb="1">
      <t>ヒラ</t>
    </rPh>
    <rPh sb="2" eb="3">
      <t>シゲル</t>
    </rPh>
    <rPh sb="8" eb="9">
      <t>ネン</t>
    </rPh>
    <phoneticPr fontId="19"/>
  </si>
  <si>
    <r>
      <rPr>
        <b/>
        <sz val="10"/>
        <color indexed="9"/>
        <rFont val="ＭＳ 明朝"/>
        <family val="1"/>
        <charset val="128"/>
      </rPr>
      <t xml:space="preserve">平　成 </t>
    </r>
    <r>
      <rPr>
        <b/>
        <sz val="10"/>
        <rFont val="ＭＳ 明朝"/>
        <family val="1"/>
        <charset val="128"/>
      </rPr>
      <t xml:space="preserve">2 7 </t>
    </r>
    <r>
      <rPr>
        <b/>
        <sz val="10"/>
        <color indexed="9"/>
        <rFont val="ＭＳ 明朝"/>
        <family val="1"/>
        <charset val="128"/>
      </rPr>
      <t>年　</t>
    </r>
    <rPh sb="0" eb="1">
      <t>ヒラ</t>
    </rPh>
    <rPh sb="2" eb="3">
      <t>シゲル</t>
    </rPh>
    <phoneticPr fontId="19"/>
  </si>
  <si>
    <t>平成22年</t>
    <phoneticPr fontId="19"/>
  </si>
  <si>
    <t>平成27年</t>
    <phoneticPr fontId="19"/>
  </si>
  <si>
    <t>資料：平成27年国勢調査</t>
    <phoneticPr fontId="19"/>
  </si>
  <si>
    <t>資料：平成27年国勢調査</t>
    <phoneticPr fontId="19"/>
  </si>
  <si>
    <t xml:space="preserve"> 平成27年</t>
    <phoneticPr fontId="19"/>
  </si>
  <si>
    <t>（注）平成22年国勢調査より、1世帯・1人当りの延面積は把握されていない。</t>
    <rPh sb="1" eb="2">
      <t>チュウ</t>
    </rPh>
    <rPh sb="3" eb="5">
      <t>ヘイセイ</t>
    </rPh>
    <rPh sb="7" eb="8">
      <t>ネン</t>
    </rPh>
    <rPh sb="8" eb="10">
      <t>コクセイ</t>
    </rPh>
    <rPh sb="10" eb="12">
      <t>チョウサ</t>
    </rPh>
    <rPh sb="16" eb="18">
      <t>セタイ</t>
    </rPh>
    <rPh sb="20" eb="21">
      <t>ニン</t>
    </rPh>
    <rPh sb="21" eb="22">
      <t>アタ</t>
    </rPh>
    <rPh sb="24" eb="25">
      <t>ノベ</t>
    </rPh>
    <rPh sb="25" eb="27">
      <t>メンセキ</t>
    </rPh>
    <rPh sb="28" eb="30">
      <t>ハアク</t>
    </rPh>
    <phoneticPr fontId="19"/>
  </si>
  <si>
    <t>平成22年</t>
    <phoneticPr fontId="19"/>
  </si>
  <si>
    <t>平成27年</t>
    <phoneticPr fontId="19"/>
  </si>
  <si>
    <t>平成22年</t>
    <phoneticPr fontId="19"/>
  </si>
  <si>
    <t>平成27年</t>
    <phoneticPr fontId="19"/>
  </si>
  <si>
    <t>22年</t>
    <phoneticPr fontId="19"/>
  </si>
  <si>
    <t>27年</t>
    <phoneticPr fontId="19"/>
  </si>
  <si>
    <t>22年</t>
    <phoneticPr fontId="19"/>
  </si>
  <si>
    <t>　　　平成22年国勢調査より、1世帯・1人当りの延面積は把握されていない。</t>
    <rPh sb="3" eb="5">
      <t>ヘイセイ</t>
    </rPh>
    <rPh sb="7" eb="8">
      <t>ネン</t>
    </rPh>
    <rPh sb="8" eb="10">
      <t>コクセイ</t>
    </rPh>
    <rPh sb="10" eb="12">
      <t>チョウサ</t>
    </rPh>
    <rPh sb="16" eb="18">
      <t>セタイ</t>
    </rPh>
    <rPh sb="20" eb="21">
      <t>ニン</t>
    </rPh>
    <rPh sb="21" eb="22">
      <t>アタ</t>
    </rPh>
    <rPh sb="24" eb="25">
      <t>ノベ</t>
    </rPh>
    <rPh sb="25" eb="27">
      <t>メンセキ</t>
    </rPh>
    <rPh sb="28" eb="30">
      <t>ハアク</t>
    </rPh>
    <phoneticPr fontId="19"/>
  </si>
  <si>
    <t>資料：住民基本台帳（市民課）</t>
    <rPh sb="3" eb="9">
      <t>ジュウミンキホンダイチョウ</t>
    </rPh>
    <rPh sb="10" eb="13">
      <t>シミンカ</t>
    </rPh>
    <phoneticPr fontId="19"/>
  </si>
  <si>
    <t xml:space="preserve">資料：住民基本台帳（市民課） </t>
    <rPh sb="3" eb="9">
      <t>ジュウミンキホンダイチョウ</t>
    </rPh>
    <rPh sb="10" eb="13">
      <t>シミンカ</t>
    </rPh>
    <phoneticPr fontId="19"/>
  </si>
  <si>
    <t>資料：住民基本台帳（市民課）</t>
    <rPh sb="3" eb="9">
      <t>ジュウミンキホンダイチョウ</t>
    </rPh>
    <rPh sb="10" eb="13">
      <t>シミンカ</t>
    </rPh>
    <phoneticPr fontId="19"/>
  </si>
  <si>
    <t>資料：住民基本台帳（市民課）</t>
    <phoneticPr fontId="19"/>
  </si>
  <si>
    <t>県営港川団地</t>
    <rPh sb="0" eb="2">
      <t>ケンエイ</t>
    </rPh>
    <rPh sb="2" eb="6">
      <t>ミナトガワダンチ</t>
    </rPh>
    <phoneticPr fontId="19"/>
  </si>
  <si>
    <t xml:space="preserve">  　　県営港川団地は、平成28年4月1日認可。    </t>
    <phoneticPr fontId="19"/>
  </si>
  <si>
    <t>平成27年国調人口</t>
    <phoneticPr fontId="19"/>
  </si>
  <si>
    <t>　人口増加数では、①沖縄市が 9,030人で最も多く、次に②宜野湾市 4,315人、③本市 3,881人，④豊見城市 3,858人、⑤那覇市 3,481人の順となっている。人口比重（総人口に占める割合）の移動では，沖縄市が 3.7で最も高く、次いで ②豊見城市、③宜野湾市及び与那原町と続いている。
　沖縄県の人口密度は１平方キロメートル当り 628.4人で、前回の平成22年と比べて 16.5人高くなっている。市町村別では、①那覇市が 8,072.7人で最も高く、次いで②本市 5,864.1人、③宜野湾市 4,860.8人の順となっている。</t>
    <rPh sb="10" eb="12">
      <t>オキナワ</t>
    </rPh>
    <rPh sb="30" eb="34">
      <t>ギノワンシ</t>
    </rPh>
    <rPh sb="36" eb="41">
      <t>３１５ニン</t>
    </rPh>
    <rPh sb="43" eb="44">
      <t>ホン</t>
    </rPh>
    <rPh sb="54" eb="57">
      <t>トミグスク</t>
    </rPh>
    <rPh sb="67" eb="69">
      <t>ナハ</t>
    </rPh>
    <rPh sb="107" eb="109">
      <t>オキナワ</t>
    </rPh>
    <rPh sb="126" eb="130">
      <t>トミグスクシ</t>
    </rPh>
    <rPh sb="132" eb="136">
      <t>ギノワンシ</t>
    </rPh>
    <rPh sb="136" eb="137">
      <t>オヨ</t>
    </rPh>
    <rPh sb="138" eb="142">
      <t>ヨナバルチョウ</t>
    </rPh>
    <rPh sb="143" eb="144">
      <t>ツヅ</t>
    </rPh>
    <rPh sb="247" eb="248">
      <t>ニン</t>
    </rPh>
    <phoneticPr fontId="19"/>
  </si>
  <si>
    <t>　古い記録にみる本市の人口は、明治16年に 8,574人とあるが、その後徐々に増加し大正２年には12,088人となっている。やがて昭和に入ると人口の伸びは低調となり、昭和15年まで11,000人台の人口で推移している。
　しかし、昭和25年の第二兵站部隊の移駐 （具志川市天願より）を契機に大幅な人口の流入が生じ、昭和30年には 18,832人で対前回増加率 58.12％という急激な伸びを記録した。
　その後基地の影響もうすれ、増加率は昭和35年 30.16％、40年 25.74％と鈍化の傾向が続いたが、この頃を境に45年 35.52％、50年 41.95％と再び高い増加に転じて、人口急増の傾向を顕著なものとしたが、その後社会増の低下により55年18.54％、60年 16.12％と再び鈍化傾向を示した。
　平成27年10月１日現在の人口は 114,232人で前回 （平成22年）に比べ 3,881人（県下第3位）の増加数となっている。しかし、対前回増加率は 3.52％で、平成22年と同様に人口増加の傾向が緩やかになっている。</t>
    <rPh sb="440" eb="442">
      <t>ヘイセイ</t>
    </rPh>
    <rPh sb="444" eb="445">
      <t>ネン</t>
    </rPh>
    <rPh sb="446" eb="448">
      <t>ドウヨウ</t>
    </rPh>
    <rPh sb="449" eb="451">
      <t>ジンコウ</t>
    </rPh>
    <rPh sb="451" eb="453">
      <t>ゾウカ</t>
    </rPh>
    <rPh sb="454" eb="456">
      <t>ケイコウ</t>
    </rPh>
    <rPh sb="457" eb="458">
      <t>ユル</t>
    </rPh>
    <phoneticPr fontId="19"/>
  </si>
  <si>
    <t>　年齢構造について、過去10回の国勢調査でみていくと、年少人口の構成比の低下、生産年齢人口の構成比の増大、老年人口の漸増という過程で推移しており、平成27年には年少人口が20,910人（18.3％）、生産年齢人口72,626人（同63.6％）、老年人口が19,476人（同 17.0％）となっている。このような傾向は、少産少死型の人口構成への移行を意味しており、近年の家族計画による出生率の低下および医学の進歩による死亡率の低下がその要因となっている。</t>
    <rPh sb="200" eb="202">
      <t>イガク</t>
    </rPh>
    <rPh sb="203" eb="205">
      <t>シンポ</t>
    </rPh>
    <rPh sb="208" eb="211">
      <t>シボウリツ</t>
    </rPh>
    <phoneticPr fontId="19"/>
  </si>
  <si>
    <t>　　　 平成14年4月1日、豊見城市誕生。平成17年4月１日うるま市誕生。 平成17年10月１日宮古島市誕生。</t>
    <rPh sb="4" eb="6">
      <t>ヘイセイ</t>
    </rPh>
    <rPh sb="8" eb="9">
      <t>ネン</t>
    </rPh>
    <rPh sb="10" eb="11">
      <t>ガツ</t>
    </rPh>
    <rPh sb="12" eb="13">
      <t>ニチ</t>
    </rPh>
    <rPh sb="14" eb="15">
      <t>トヨ</t>
    </rPh>
    <rPh sb="15" eb="16">
      <t>ミ</t>
    </rPh>
    <rPh sb="16" eb="17">
      <t>シロ</t>
    </rPh>
    <rPh sb="17" eb="18">
      <t>シ</t>
    </rPh>
    <rPh sb="18" eb="20">
      <t>タンジョウ</t>
    </rPh>
    <phoneticPr fontId="19"/>
  </si>
  <si>
    <t xml:space="preserve">       平成18年1月1日、南城市誕生。</t>
    <phoneticPr fontId="19"/>
  </si>
  <si>
    <t>合計</t>
    <rPh sb="0" eb="2">
      <t>ゴウケイ</t>
    </rPh>
    <phoneticPr fontId="19"/>
  </si>
  <si>
    <t>平成28年</t>
    <rPh sb="0" eb="2">
      <t>ヘイセイ</t>
    </rPh>
    <rPh sb="4" eb="5">
      <t>ネン</t>
    </rPh>
    <phoneticPr fontId="19"/>
  </si>
  <si>
    <t>昭和45年</t>
    <rPh sb="0" eb="2">
      <t>ショウワ</t>
    </rPh>
    <rPh sb="4" eb="5">
      <t>ネン</t>
    </rPh>
    <phoneticPr fontId="19"/>
  </si>
  <si>
    <t>27年</t>
    <rPh sb="2" eb="3">
      <t>ネン</t>
    </rPh>
    <phoneticPr fontId="19"/>
  </si>
  <si>
    <t>（平成27年国勢調査）</t>
    <rPh sb="1" eb="3">
      <t>ヘイセイ</t>
    </rPh>
    <rPh sb="5" eb="6">
      <t>ネン</t>
    </rPh>
    <rPh sb="6" eb="8">
      <t>コクセイ</t>
    </rPh>
    <rPh sb="8" eb="10">
      <t>チョウサ</t>
    </rPh>
    <phoneticPr fontId="19"/>
  </si>
  <si>
    <t>不詳</t>
    <rPh sb="0" eb="2">
      <t>フショウ</t>
    </rPh>
    <phoneticPr fontId="19"/>
  </si>
  <si>
    <t>（平成27年 国勢調査）</t>
    <rPh sb="1" eb="3">
      <t>ヘイセイ</t>
    </rPh>
    <rPh sb="5" eb="6">
      <t>ネン</t>
    </rPh>
    <rPh sb="7" eb="9">
      <t>コクセイ</t>
    </rPh>
    <rPh sb="9" eb="11">
      <t>チョウサ</t>
    </rPh>
    <phoneticPr fontId="19"/>
  </si>
  <si>
    <t>H27国勢調査データ（e-statより）</t>
    <rPh sb="3" eb="5">
      <t>コクセイ</t>
    </rPh>
    <rPh sb="5" eb="7">
      <t>チョウサ</t>
    </rPh>
    <phoneticPr fontId="19"/>
  </si>
  <si>
    <t>※不詳はグラフには含めていない</t>
    <rPh sb="1" eb="3">
      <t>フショウ</t>
    </rPh>
    <rPh sb="9" eb="10">
      <t>フク</t>
    </rPh>
    <phoneticPr fontId="19"/>
  </si>
  <si>
    <t>（15）　人口ピラミッド（P50参照）</t>
    <phoneticPr fontId="19"/>
  </si>
  <si>
    <t>　本市の平成22年の人口集中地区は、字勢理客から字牧港にかけての国道330号（バイパス）以西の大部分や字大平、字安波茶、字仲間、字前田、字経塚（一部）、字西原及び字当山（一部）の地区から成り立っている。（詳細地区について平成27年は平成29年2月時点で未公表）
　平成27年の面積は12.47平方キロメートルで平成22年より 0.4平方キロメートル（増加率3.3％）増加し、</t>
    <rPh sb="4" eb="6">
      <t>ヘイセイ</t>
    </rPh>
    <rPh sb="8" eb="9">
      <t>ネン</t>
    </rPh>
    <rPh sb="102" eb="104">
      <t>ショウサイ</t>
    </rPh>
    <rPh sb="104" eb="106">
      <t>チク</t>
    </rPh>
    <rPh sb="110" eb="112">
      <t>ヘイセイ</t>
    </rPh>
    <rPh sb="114" eb="115">
      <t>ネン</t>
    </rPh>
    <rPh sb="116" eb="118">
      <t>ヘイセイ</t>
    </rPh>
    <rPh sb="120" eb="121">
      <t>ネン</t>
    </rPh>
    <rPh sb="122" eb="123">
      <t>ガツ</t>
    </rPh>
    <rPh sb="123" eb="125">
      <t>ジテン</t>
    </rPh>
    <rPh sb="126" eb="129">
      <t>ミコウヒョウ</t>
    </rPh>
    <rPh sb="132" eb="134">
      <t>ヘイセイ</t>
    </rPh>
    <rPh sb="136" eb="137">
      <t>ネン</t>
    </rPh>
    <rPh sb="175" eb="177">
      <t>ゾウカ</t>
    </rPh>
    <rPh sb="177" eb="178">
      <t>リツ</t>
    </rPh>
    <rPh sb="183" eb="185">
      <t>ゾウカ</t>
    </rPh>
    <phoneticPr fontId="19"/>
  </si>
  <si>
    <t>市の総面積に占める割合では64.0％となった。また、平成27年の人口集中地区人口は111,169人で、平成22年より4,722人（同4.4％）増加しており、市の総人口に占める割合では、97.3％となった。一方、人口集中地区の人口密度は 8,915人となり、平成22年の8,819人と比べ微増した。</t>
    <rPh sb="3" eb="4">
      <t>メン</t>
    </rPh>
    <phoneticPr fontId="19"/>
  </si>
  <si>
    <t>Ⅱ　人　　口</t>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</si>
</sst>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37">
    <numFmt numFmtId="41" formatCode="_ * #,##0_ ;_ * \-#,##0_ ;_ * &quot;-&quot;_ ;_ @_ "/>
    <numFmt numFmtId="176" formatCode="#,##0_);[Red]\(#,##0\)"/>
    <numFmt numFmtId="177" formatCode="#,##0.0_);[Red]\(#,##0.0\)"/>
    <numFmt numFmtId="178" formatCode="0.0%"/>
    <numFmt numFmtId="179" formatCode="#,##0_ "/>
    <numFmt numFmtId="180" formatCode="0.0_ "/>
    <numFmt numFmtId="181" formatCode="#,##0_ ;[Red]\-#,##0\ "/>
    <numFmt numFmtId="182" formatCode="0.00_ "/>
    <numFmt numFmtId="183" formatCode="#,##0;&quot;△&quot;#,##0"/>
    <numFmt numFmtId="184" formatCode="#,##0.0;&quot;△&quot;#,##0.0"/>
    <numFmt numFmtId="185" formatCode="0.00_);[Red]\(0.00\)"/>
    <numFmt numFmtId="186" formatCode="_ * #,##0\ ;_ * &quot;△&quot;#,##0\ ;_ * \-_ ;_ @_ "/>
    <numFmt numFmtId="187" formatCode="_ * #,##0.00\ ;_ * &quot;△&quot;#,##0.00\ ;_ * \-_ ;_ @_ "/>
    <numFmt numFmtId="188" formatCode="0;&quot;△ &quot;0"/>
    <numFmt numFmtId="189" formatCode="_ * #,##0.0_ ;_ * \-#,##0.0_ ;_ * \-?_ ;_ @_ "/>
    <numFmt numFmtId="190" formatCode="_ * #,##0_ ;_ * \-#,##0_ ;_ * \-_ ;_ @_ "/>
    <numFmt numFmtId="191" formatCode="#,##0;[Red]#,##0"/>
    <numFmt numFmtId="192" formatCode="_ * #,##0_ ;_ * \-#,##0_ ;_ @_ "/>
    <numFmt numFmtId="193" formatCode="_ * #,##0_ ;_ * &quot;△&quot;#,##0_ ;_ @_ "/>
    <numFmt numFmtId="194" formatCode="0_ "/>
    <numFmt numFmtId="195" formatCode="_ * #,##0;_ * &quot;△&quot;#,##0;_ * \-_ ;_ @_ "/>
    <numFmt numFmtId="196" formatCode="#,##0&quot;人&quot;"/>
    <numFmt numFmtId="197" formatCode="#,##0.0_ "/>
    <numFmt numFmtId="198" formatCode="#,##0_);\(#,##0\)"/>
    <numFmt numFmtId="199" formatCode="0.0;[Red]0.0"/>
    <numFmt numFmtId="200" formatCode="#,##0.00_);[Red]\(#,##0.00\)"/>
    <numFmt numFmtId="201" formatCode="_ * #,##0_ ;_ * &quot;△&quot;#,##0_ ;_ * \-_ ;_ @_ "/>
    <numFmt numFmtId="202" formatCode="#,##0.0\ ;&quot;△&quot;#,##0.0\ "/>
    <numFmt numFmtId="203" formatCode="#,##0\ ;&quot;△&quot;#,##0\ "/>
    <numFmt numFmtId="204" formatCode="_ #,##0_ ;_ &quot;△&quot;#,##0_ ;_ @_ "/>
    <numFmt numFmtId="205" formatCode="0.0_);[Red]\(0.0\)"/>
    <numFmt numFmtId="206" formatCode="_ &quot;¥&quot;* #,##0.0_ ;_ &quot;¥&quot;* \-#,##0.0_ ;_ &quot;¥&quot;* \-?_ ;_ @_ "/>
    <numFmt numFmtId="207" formatCode="0_);\(0\)"/>
    <numFmt numFmtId="208" formatCode="#,##0.0_);\(#,##0.0\)"/>
    <numFmt numFmtId="209" formatCode="#,##0.00_);\(#,##0.00\)"/>
    <numFmt numFmtId="210" formatCode="#.0&quot;%&quot;"/>
    <numFmt numFmtId="211" formatCode="_ * #,##0.0_ ;_ * \-#,##0.0_ ;_ * \-_ ;_ @_ "/>
  </numFmts>
  <fonts count="34">
    <font>
      <sz val="11"/>
      <color indexed="8"/>
      <name val="ＭＳ Ｐゴシック"/>
      <family val="3"/>
      <charset val="128"/>
    </font>
    <font>
      <sz val="10"/>
      <name val="ＭＳ 明朝"/>
      <family val="1"/>
      <charset val="128"/>
    </font>
    <font>
      <b/>
      <sz val="11"/>
      <name val="ＭＳ Ｐゴシック"/>
      <family val="3"/>
      <charset val="128"/>
    </font>
    <font>
      <b/>
      <sz val="10"/>
      <name val="ＭＳ 明朝"/>
      <family val="1"/>
      <charset val="128"/>
    </font>
    <font>
      <sz val="10"/>
      <color indexed="9"/>
      <name val="ＭＳ 明朝"/>
      <family val="1"/>
      <charset val="128"/>
    </font>
    <font>
      <b/>
      <sz val="10"/>
      <color indexed="9"/>
      <name val="ＭＳ 明朝"/>
      <family val="1"/>
      <charset val="128"/>
    </font>
    <font>
      <b/>
      <sz val="10"/>
      <color indexed="8"/>
      <name val="ＭＳ 明朝"/>
      <family val="1"/>
      <charset val="128"/>
    </font>
    <font>
      <sz val="9"/>
      <name val="ＭＳ 明朝"/>
      <family val="1"/>
      <charset val="128"/>
    </font>
    <font>
      <sz val="11"/>
      <name val="ＭＳ 明朝"/>
      <family val="1"/>
      <charset val="128"/>
    </font>
    <font>
      <sz val="10"/>
      <name val="ＭＳ Ｐゴシック"/>
      <family val="3"/>
      <charset val="128"/>
    </font>
    <font>
      <b/>
      <sz val="10"/>
      <name val="ＭＳ Ｐゴシック"/>
      <family val="3"/>
      <charset val="128"/>
    </font>
    <font>
      <b/>
      <sz val="9"/>
      <name val="ＭＳ 明朝"/>
      <family val="1"/>
      <charset val="128"/>
    </font>
    <font>
      <sz val="8"/>
      <name val="ＭＳ 明朝"/>
      <family val="1"/>
      <charset val="128"/>
    </font>
    <font>
      <sz val="11"/>
      <name val="ＭＳ Ｐゴシック"/>
      <family val="3"/>
      <charset val="128"/>
    </font>
    <font>
      <sz val="14"/>
      <name val="ＭＳ 明朝"/>
      <family val="1"/>
      <charset val="128"/>
    </font>
    <font>
      <b/>
      <sz val="14"/>
      <name val="ＭＳ 明朝"/>
      <family val="1"/>
      <charset val="128"/>
    </font>
    <font>
      <sz val="12"/>
      <name val="ＭＳ 明朝"/>
      <family val="1"/>
      <charset val="128"/>
    </font>
    <font>
      <sz val="10"/>
      <name val="ＭＳ ゴシック"/>
      <family val="3"/>
      <charset val="128"/>
    </font>
    <font>
      <sz val="11"/>
      <color indexed="8"/>
      <name val="ＭＳ Ｐゴシック"/>
      <family val="3"/>
      <charset val="128"/>
    </font>
    <font>
      <sz val="6"/>
      <name val="ＭＳ Ｐゴシック"/>
      <family val="3"/>
      <charset val="128"/>
    </font>
    <font>
      <b/>
      <sz val="16"/>
      <name val="ＭＳ 明朝"/>
      <family val="1"/>
      <charset val="128"/>
    </font>
    <font>
      <b/>
      <sz val="9"/>
      <color indexed="81"/>
      <name val="ＭＳ Ｐゴシック"/>
      <family val="3"/>
      <charset val="128"/>
    </font>
    <font>
      <sz val="11"/>
      <color indexed="8"/>
      <name val="ＭＳ 明朝"/>
      <family val="1"/>
      <charset val="128"/>
    </font>
    <font>
      <sz val="10"/>
      <color indexed="8"/>
      <name val="ＭＳ 明朝"/>
      <family val="1"/>
      <charset val="128"/>
    </font>
    <font>
      <b/>
      <sz val="11"/>
      <color indexed="8"/>
      <name val="ＭＳ Ｐゴシック"/>
      <family val="3"/>
      <charset val="128"/>
    </font>
    <font>
      <sz val="11"/>
      <color indexed="9"/>
      <name val="ＭＳ Ｐゴシック"/>
      <family val="3"/>
      <charset val="128"/>
    </font>
    <font>
      <sz val="10"/>
      <color rgb="FFFF0000"/>
      <name val="ＭＳ 明朝"/>
      <family val="1"/>
      <charset val="128"/>
    </font>
    <font>
      <sz val="10"/>
      <color theme="0"/>
      <name val="ＭＳ 明朝"/>
      <family val="1"/>
      <charset val="128"/>
    </font>
    <font>
      <sz val="11"/>
      <color rgb="FF0070C0"/>
      <name val="ＭＳ Ｐゴシック"/>
      <family val="3"/>
      <charset val="128"/>
    </font>
    <font>
      <sz val="10"/>
      <color theme="1"/>
      <name val="ＭＳ 明朝"/>
      <family val="1"/>
      <charset val="128"/>
    </font>
    <font>
      <b/>
      <sz val="10"/>
      <color theme="1"/>
      <name val="ＭＳ 明朝"/>
      <family val="1"/>
      <charset val="128"/>
    </font>
    <font>
      <sz val="11"/>
      <color theme="1"/>
      <name val="ＭＳ Ｐゴシック"/>
      <family val="3"/>
      <charset val="128"/>
    </font>
    <font>
      <sz val="11"/>
      <color theme="0" tint="-0.34998626667073579"/>
      <name val="ＭＳ Ｐゴシック"/>
      <family val="3"/>
      <charset val="128"/>
    </font>
    <font>
      <sz val="10"/>
      <color theme="0" tint="-0.34998626667073579"/>
      <name val="ＭＳ 明朝"/>
      <family val="1"/>
      <charset val="128"/>
    </font>
  </fonts>
  <fills count="2">
    <fill>
      <patternFill patternType="none"/>
    </fill>
    <fill>
      <patternFill patternType="gray125"/>
    </fill>
  </fills>
  <borders count="1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right/>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bottom/>
      <diagonal/>
    </border>
    <border>
      <left/>
      <right/>
      <top/>
      <bottom style="medium">
        <color indexed="64"/>
      </bottom>
      <diagonal/>
    </border>
    <border>
      <left style="thin">
        <color indexed="8"/>
      </left>
      <right/>
      <top/>
      <bottom style="medium">
        <color indexed="64"/>
      </bottom>
      <diagonal/>
    </border>
    <border>
      <left style="thin">
        <color indexed="64"/>
      </left>
      <right/>
      <top/>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diagonal/>
    </border>
    <border>
      <left style="medium">
        <color indexed="64"/>
      </left>
      <right/>
      <top/>
      <bottom style="thin">
        <color indexed="8"/>
      </bottom>
      <diagonal/>
    </border>
    <border>
      <left style="thin">
        <color indexed="8"/>
      </left>
      <right/>
      <top style="medium">
        <color indexed="64"/>
      </top>
      <bottom/>
      <diagonal/>
    </border>
    <border>
      <left style="thin">
        <color indexed="8"/>
      </left>
      <right style="medium">
        <color indexed="64"/>
      </right>
      <top/>
      <bottom/>
      <diagonal/>
    </border>
    <border>
      <left style="medium">
        <color indexed="64"/>
      </left>
      <right/>
      <top style="medium">
        <color indexed="64"/>
      </top>
      <bottom/>
      <diagonal/>
    </border>
    <border>
      <left/>
      <right style="thin">
        <color indexed="8"/>
      </right>
      <top style="medium">
        <color indexed="64"/>
      </top>
      <bottom/>
      <diagonal/>
    </border>
    <border>
      <left/>
      <right/>
      <top style="medium">
        <color indexed="64"/>
      </top>
      <bottom/>
      <diagonal/>
    </border>
    <border>
      <left style="thin">
        <color indexed="8"/>
      </left>
      <right style="medium">
        <color indexed="64"/>
      </right>
      <top style="medium">
        <color indexed="64"/>
      </top>
      <bottom/>
      <diagonal/>
    </border>
    <border>
      <left style="medium">
        <color indexed="64"/>
      </left>
      <right/>
      <top style="thin">
        <color indexed="8"/>
      </top>
      <bottom/>
      <diagonal/>
    </border>
    <border>
      <left/>
      <right style="medium">
        <color indexed="64"/>
      </right>
      <top style="thin">
        <color indexed="8"/>
      </top>
      <bottom/>
      <diagonal/>
    </border>
    <border>
      <left/>
      <right style="medium">
        <color indexed="64"/>
      </right>
      <top/>
      <bottom/>
      <diagonal/>
    </border>
    <border>
      <left style="medium">
        <color indexed="64"/>
      </left>
      <right/>
      <top/>
      <bottom style="medium">
        <color indexed="64"/>
      </bottom>
      <diagonal/>
    </border>
    <border>
      <left/>
      <right style="thin">
        <color indexed="8"/>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right style="medium">
        <color indexed="64"/>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style="thin">
        <color indexed="8"/>
      </top>
      <bottom/>
      <diagonal/>
    </border>
    <border>
      <left/>
      <right style="medium">
        <color indexed="64"/>
      </right>
      <top style="thin">
        <color indexed="8"/>
      </top>
      <bottom style="thin">
        <color indexed="8"/>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64"/>
      </right>
      <top/>
      <bottom/>
      <diagonal/>
    </border>
    <border>
      <left style="thin">
        <color indexed="8"/>
      </left>
      <right style="thin">
        <color indexed="64"/>
      </right>
      <top/>
      <bottom style="hair">
        <color indexed="8"/>
      </bottom>
      <diagonal/>
    </border>
    <border>
      <left style="thin">
        <color indexed="8"/>
      </left>
      <right style="thin">
        <color indexed="64"/>
      </right>
      <top style="medium">
        <color indexed="64"/>
      </top>
      <bottom/>
      <diagonal/>
    </border>
    <border>
      <left/>
      <right style="medium">
        <color indexed="64"/>
      </right>
      <top style="medium">
        <color indexed="64"/>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thin">
        <color indexed="64"/>
      </right>
      <top style="medium">
        <color indexed="64"/>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hair">
        <color indexed="8"/>
      </bottom>
      <diagonal/>
    </border>
    <border>
      <left style="medium">
        <color indexed="64"/>
      </left>
      <right style="thin">
        <color indexed="64"/>
      </right>
      <top/>
      <bottom/>
      <diagonal/>
    </border>
    <border>
      <left style="thin">
        <color indexed="64"/>
      </left>
      <right style="thin">
        <color indexed="8"/>
      </right>
      <top style="medium">
        <color indexed="64"/>
      </top>
      <bottom style="thin">
        <color indexed="8"/>
      </bottom>
      <diagonal/>
    </border>
    <border>
      <left/>
      <right style="thin">
        <color indexed="64"/>
      </right>
      <top style="thin">
        <color indexed="8"/>
      </top>
      <bottom/>
      <diagonal/>
    </border>
    <border>
      <left style="medium">
        <color indexed="64"/>
      </left>
      <right/>
      <top style="thin">
        <color indexed="8"/>
      </top>
      <bottom style="thin">
        <color indexed="8"/>
      </bottom>
      <diagonal/>
    </border>
    <border>
      <left style="medium">
        <color indexed="64"/>
      </left>
      <right style="thin">
        <color indexed="8"/>
      </right>
      <top/>
      <bottom style="thin">
        <color indexed="8"/>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right style="medium">
        <color indexed="64"/>
      </right>
      <top style="medium">
        <color indexed="64"/>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bottom style="medium">
        <color indexed="64"/>
      </bottom>
      <diagonal/>
    </border>
    <border>
      <left/>
      <right style="medium">
        <color indexed="8"/>
      </right>
      <top/>
      <bottom/>
      <diagonal/>
    </border>
    <border>
      <left/>
      <right style="medium">
        <color indexed="8"/>
      </right>
      <top/>
      <bottom style="medium">
        <color indexed="64"/>
      </bottom>
      <diagonal/>
    </border>
    <border>
      <left style="thin">
        <color indexed="64"/>
      </left>
      <right style="thin">
        <color indexed="8"/>
      </right>
      <top style="thin">
        <color indexed="8"/>
      </top>
      <bottom style="thin">
        <color indexed="8"/>
      </bottom>
      <diagonal/>
    </border>
    <border>
      <left style="medium">
        <color indexed="64"/>
      </left>
      <right style="thin">
        <color indexed="64"/>
      </right>
      <top/>
      <bottom style="medium">
        <color indexed="64"/>
      </bottom>
      <diagonal/>
    </border>
    <border>
      <left style="thin">
        <color indexed="8"/>
      </left>
      <right style="thin">
        <color indexed="64"/>
      </right>
      <top style="thin">
        <color indexed="8"/>
      </top>
      <bottom style="thin">
        <color indexed="8"/>
      </bottom>
      <diagonal/>
    </border>
    <border>
      <left/>
      <right/>
      <top style="thin">
        <color indexed="64"/>
      </top>
      <bottom/>
      <diagonal/>
    </border>
    <border>
      <left/>
      <right style="medium">
        <color indexed="64"/>
      </right>
      <top style="thin">
        <color indexed="64"/>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64"/>
      </right>
      <top style="medium">
        <color indexed="8"/>
      </top>
      <bottom style="thin">
        <color indexed="8"/>
      </bottom>
      <diagonal/>
    </border>
    <border>
      <left style="thin">
        <color indexed="64"/>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8"/>
      </right>
      <top style="thin">
        <color indexed="8"/>
      </top>
      <bottom/>
      <diagonal/>
    </border>
    <border>
      <left style="thin">
        <color indexed="64"/>
      </left>
      <right/>
      <top style="medium">
        <color indexed="64"/>
      </top>
      <bottom style="thin">
        <color indexed="8"/>
      </bottom>
      <diagonal/>
    </border>
    <border>
      <left style="thin">
        <color indexed="8"/>
      </left>
      <right style="thin">
        <color indexed="64"/>
      </right>
      <top/>
      <bottom style="thin">
        <color indexed="64"/>
      </bottom>
      <diagonal/>
    </border>
    <border>
      <left style="thin">
        <color indexed="64"/>
      </left>
      <right style="medium">
        <color indexed="8"/>
      </right>
      <top style="medium">
        <color indexed="64"/>
      </top>
      <bottom style="thin">
        <color indexed="8"/>
      </bottom>
      <diagonal/>
    </border>
    <border>
      <left/>
      <right style="medium">
        <color auto="1"/>
      </right>
      <top/>
      <bottom/>
      <diagonal/>
    </border>
    <border>
      <left style="medium">
        <color indexed="64"/>
      </left>
      <right style="thin">
        <color indexed="64"/>
      </right>
      <top style="thin">
        <color indexed="8"/>
      </top>
      <bottom/>
      <diagonal/>
    </border>
    <border>
      <left style="thin">
        <color indexed="64"/>
      </left>
      <right/>
      <top style="thin">
        <color indexed="8"/>
      </top>
      <bottom/>
      <diagonal/>
    </border>
    <border>
      <left style="thin">
        <color indexed="64"/>
      </left>
      <right/>
      <top/>
      <bottom style="medium">
        <color indexed="64"/>
      </bottom>
      <diagonal/>
    </border>
  </borders>
  <cellStyleXfs count="7">
    <xf numFmtId="0" fontId="0" fillId="0" borderId="0">
      <alignment vertical="center"/>
    </xf>
    <xf numFmtId="9" fontId="18" fillId="0" borderId="0" applyFill="0" applyBorder="0" applyProtection="0">
      <alignment vertical="center"/>
    </xf>
    <xf numFmtId="38" fontId="13" fillId="0" borderId="0" applyFont="0" applyFill="0" applyBorder="0" applyAlignment="0" applyProtection="0"/>
    <xf numFmtId="38" fontId="13" fillId="0" borderId="0" applyFont="0" applyFill="0" applyBorder="0" applyAlignment="0" applyProtection="0"/>
    <xf numFmtId="0" fontId="18" fillId="0" borderId="0">
      <alignment vertical="center"/>
    </xf>
    <xf numFmtId="0" fontId="13" fillId="0" borderId="0" applyBorder="0"/>
    <xf numFmtId="0" fontId="13" fillId="0" borderId="0" applyBorder="0"/>
  </cellStyleXfs>
  <cellXfs count="1106">
    <xf numFmtId="0" fontId="0" fillId="0" borderId="0" xfId="0">
      <alignment vertical="center"/>
    </xf>
    <xf numFmtId="0" fontId="0" fillId="0" borderId="0" xfId="0" applyFont="1">
      <alignment vertical="center"/>
    </xf>
    <xf numFmtId="176" fontId="1" fillId="0" borderId="0" xfId="0" applyNumberFormat="1" applyFont="1" applyBorder="1" applyAlignment="1">
      <alignment vertical="center"/>
    </xf>
    <xf numFmtId="176" fontId="1" fillId="0" borderId="0" xfId="0" applyNumberFormat="1" applyFont="1" applyFill="1" applyBorder="1" applyAlignment="1">
      <alignment vertical="center"/>
    </xf>
    <xf numFmtId="0" fontId="1" fillId="0" borderId="1" xfId="0" applyFont="1" applyBorder="1" applyAlignment="1">
      <alignment horizontal="center" vertical="center"/>
    </xf>
    <xf numFmtId="0" fontId="1" fillId="0" borderId="0" xfId="0" applyFont="1" applyAlignment="1">
      <alignment vertical="center"/>
    </xf>
    <xf numFmtId="0" fontId="0" fillId="0" borderId="0" xfId="0" applyAlignment="1">
      <alignment vertical="center"/>
    </xf>
    <xf numFmtId="0" fontId="1" fillId="0" borderId="0" xfId="0" applyFont="1" applyAlignment="1">
      <alignment horizontal="right"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179" fontId="1" fillId="0" borderId="0" xfId="0" applyNumberFormat="1" applyFont="1" applyBorder="1" applyAlignment="1">
      <alignment vertical="center"/>
    </xf>
    <xf numFmtId="0" fontId="0" fillId="0" borderId="0" xfId="0" applyFill="1">
      <alignment vertical="center"/>
    </xf>
    <xf numFmtId="0" fontId="0" fillId="0" borderId="0" xfId="0" applyFill="1" applyBorder="1">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horizontal="right" vertical="center"/>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3" fillId="0" borderId="5" xfId="0" applyFont="1" applyFill="1" applyBorder="1" applyAlignment="1">
      <alignment vertical="center"/>
    </xf>
    <xf numFmtId="0" fontId="1" fillId="0" borderId="5" xfId="0" applyFont="1" applyFill="1" applyBorder="1" applyAlignment="1">
      <alignment vertical="center"/>
    </xf>
    <xf numFmtId="0" fontId="1" fillId="0" borderId="6" xfId="0" applyFont="1" applyFill="1" applyBorder="1" applyAlignment="1">
      <alignment vertical="center"/>
    </xf>
    <xf numFmtId="176" fontId="1" fillId="0" borderId="5" xfId="0" applyNumberFormat="1" applyFont="1" applyFill="1" applyBorder="1" applyAlignment="1">
      <alignment vertical="center"/>
    </xf>
    <xf numFmtId="0" fontId="3" fillId="0" borderId="6" xfId="0" applyFont="1" applyFill="1" applyBorder="1" applyAlignment="1">
      <alignment vertical="center"/>
    </xf>
    <xf numFmtId="176" fontId="0" fillId="0" borderId="0" xfId="0" applyNumberFormat="1" applyFill="1">
      <alignment vertical="center"/>
    </xf>
    <xf numFmtId="0" fontId="1" fillId="0" borderId="3" xfId="0" applyFont="1" applyFill="1" applyBorder="1" applyAlignment="1">
      <alignment vertical="center"/>
    </xf>
    <xf numFmtId="0" fontId="1" fillId="0" borderId="8" xfId="0" applyFont="1" applyFill="1" applyBorder="1" applyAlignment="1">
      <alignment vertical="center"/>
    </xf>
    <xf numFmtId="0" fontId="1" fillId="0" borderId="2" xfId="0" applyFont="1" applyFill="1" applyBorder="1" applyAlignment="1">
      <alignment horizontal="center" vertical="center"/>
    </xf>
    <xf numFmtId="0" fontId="1" fillId="0" borderId="0" xfId="0" applyFont="1" applyBorder="1" applyAlignment="1">
      <alignment vertical="center"/>
    </xf>
    <xf numFmtId="176" fontId="3" fillId="0" borderId="9" xfId="0" applyNumberFormat="1" applyFont="1" applyFill="1" applyBorder="1" applyAlignment="1">
      <alignment vertical="center"/>
    </xf>
    <xf numFmtId="185" fontId="3" fillId="0" borderId="5" xfId="0" applyNumberFormat="1" applyFont="1" applyFill="1" applyBorder="1" applyAlignment="1">
      <alignment horizontal="right" vertical="center" indent="1"/>
    </xf>
    <xf numFmtId="176" fontId="3" fillId="0" borderId="0" xfId="0" applyNumberFormat="1" applyFont="1" applyFill="1" applyBorder="1" applyAlignment="1">
      <alignment vertical="center"/>
    </xf>
    <xf numFmtId="188" fontId="3" fillId="0" borderId="0" xfId="0" applyNumberFormat="1" applyFont="1" applyFill="1" applyBorder="1" applyAlignment="1">
      <alignment horizontal="right" vertical="center" indent="1"/>
    </xf>
    <xf numFmtId="186" fontId="1" fillId="0" borderId="0" xfId="0" applyNumberFormat="1" applyFont="1" applyFill="1" applyBorder="1" applyAlignment="1">
      <alignment horizontal="right" vertical="center"/>
    </xf>
    <xf numFmtId="0" fontId="9" fillId="0" borderId="0" xfId="0" applyFont="1" applyFill="1" applyAlignment="1">
      <alignment vertical="center"/>
    </xf>
    <xf numFmtId="0" fontId="7" fillId="0" borderId="8" xfId="0" applyFont="1" applyFill="1" applyBorder="1" applyAlignment="1">
      <alignment horizontal="center" vertical="center"/>
    </xf>
    <xf numFmtId="49" fontId="1" fillId="0" borderId="8"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7" fillId="0" borderId="3" xfId="0" applyFont="1" applyFill="1" applyBorder="1" applyAlignment="1">
      <alignment horizontal="center" vertical="center"/>
    </xf>
    <xf numFmtId="186" fontId="1" fillId="0" borderId="0" xfId="0" applyNumberFormat="1" applyFont="1" applyFill="1" applyBorder="1" applyAlignment="1">
      <alignment vertical="center"/>
    </xf>
    <xf numFmtId="0" fontId="10" fillId="0" borderId="0" xfId="0" applyFont="1" applyFill="1" applyAlignment="1">
      <alignment vertical="center"/>
    </xf>
    <xf numFmtId="192" fontId="1" fillId="0" borderId="0" xfId="0" applyNumberFormat="1" applyFont="1" applyFill="1" applyBorder="1" applyAlignment="1">
      <alignment vertical="center"/>
    </xf>
    <xf numFmtId="193" fontId="1" fillId="0" borderId="0" xfId="0" applyNumberFormat="1" applyFont="1" applyFill="1" applyBorder="1" applyAlignment="1">
      <alignment vertical="center"/>
    </xf>
    <xf numFmtId="0" fontId="1" fillId="0" borderId="0" xfId="0" applyFont="1" applyBorder="1" applyAlignment="1">
      <alignment horizontal="justify" vertical="center"/>
    </xf>
    <xf numFmtId="0" fontId="3" fillId="0" borderId="0" xfId="0" applyFont="1" applyBorder="1" applyAlignment="1">
      <alignment vertical="center"/>
    </xf>
    <xf numFmtId="0" fontId="8" fillId="0" borderId="0" xfId="0" applyFont="1">
      <alignment vertical="center"/>
    </xf>
    <xf numFmtId="0" fontId="8" fillId="0" borderId="0" xfId="0" applyFont="1" applyBorder="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shrinkToFit="1"/>
    </xf>
    <xf numFmtId="0" fontId="8" fillId="0" borderId="0" xfId="0" applyFont="1" applyAlignment="1">
      <alignment vertical="top"/>
    </xf>
    <xf numFmtId="0" fontId="1" fillId="0" borderId="0" xfId="0" applyFont="1" applyAlignment="1">
      <alignment horizontal="left" vertical="center" shrinkToFit="1"/>
    </xf>
    <xf numFmtId="0" fontId="8" fillId="0" borderId="0" xfId="0" applyFont="1" applyAlignment="1">
      <alignment vertical="center"/>
    </xf>
    <xf numFmtId="0" fontId="8" fillId="0" borderId="0" xfId="0" applyFont="1" applyBorder="1" applyAlignment="1">
      <alignment vertical="center"/>
    </xf>
    <xf numFmtId="189" fontId="1" fillId="0" borderId="9" xfId="0" applyNumberFormat="1" applyFont="1" applyBorder="1" applyAlignment="1">
      <alignment horizontal="right" vertical="center"/>
    </xf>
    <xf numFmtId="189" fontId="1" fillId="0" borderId="0" xfId="0" applyNumberFormat="1" applyFont="1" applyBorder="1" applyAlignment="1">
      <alignment horizontal="right" vertical="center"/>
    </xf>
    <xf numFmtId="203" fontId="1" fillId="0" borderId="0" xfId="0" applyNumberFormat="1" applyFont="1" applyBorder="1" applyAlignment="1">
      <alignment vertical="center"/>
    </xf>
    <xf numFmtId="176" fontId="3" fillId="0" borderId="0" xfId="0" applyNumberFormat="1" applyFont="1" applyBorder="1" applyAlignment="1">
      <alignment vertical="center"/>
    </xf>
    <xf numFmtId="189" fontId="3" fillId="0" borderId="0" xfId="0" applyNumberFormat="1" applyFont="1" applyBorder="1" applyAlignment="1">
      <alignment horizontal="right" vertical="center"/>
    </xf>
    <xf numFmtId="0" fontId="1" fillId="0" borderId="9" xfId="0" applyFont="1" applyBorder="1" applyAlignment="1">
      <alignment vertical="center"/>
    </xf>
    <xf numFmtId="203" fontId="1" fillId="0" borderId="9" xfId="0" applyNumberFormat="1" applyFont="1" applyBorder="1" applyAlignment="1">
      <alignment vertical="center"/>
    </xf>
    <xf numFmtId="203" fontId="1" fillId="0" borderId="9" xfId="0" applyNumberFormat="1" applyFont="1" applyBorder="1" applyAlignment="1">
      <alignment horizontal="right" vertical="center"/>
    </xf>
    <xf numFmtId="203" fontId="1" fillId="0" borderId="0" xfId="0" applyNumberFormat="1" applyFont="1" applyBorder="1" applyAlignment="1">
      <alignment horizontal="right" vertical="center"/>
    </xf>
    <xf numFmtId="0" fontId="1" fillId="0" borderId="0" xfId="0" applyFont="1" applyBorder="1" applyAlignment="1">
      <alignment horizontal="center" vertical="center"/>
    </xf>
    <xf numFmtId="203" fontId="3" fillId="0" borderId="0" xfId="0" applyNumberFormat="1" applyFont="1" applyBorder="1" applyAlignment="1">
      <alignment vertical="center"/>
    </xf>
    <xf numFmtId="203" fontId="3" fillId="0" borderId="0" xfId="0" applyNumberFormat="1" applyFont="1" applyBorder="1" applyAlignment="1">
      <alignment horizontal="right" vertical="center"/>
    </xf>
    <xf numFmtId="0" fontId="1" fillId="0" borderId="0" xfId="0" applyFont="1" applyAlignment="1">
      <alignment horizontal="left" vertical="center" indent="1"/>
    </xf>
    <xf numFmtId="0" fontId="3" fillId="0" borderId="0" xfId="0" applyFont="1" applyAlignment="1">
      <alignment horizontal="center" vertical="center" shrinkToFit="1"/>
    </xf>
    <xf numFmtId="0" fontId="1" fillId="0" borderId="0" xfId="0" applyFont="1" applyAlignment="1">
      <alignment vertical="top"/>
    </xf>
    <xf numFmtId="0" fontId="1" fillId="0" borderId="5" xfId="0" applyFont="1" applyBorder="1" applyAlignment="1">
      <alignment vertical="center"/>
    </xf>
    <xf numFmtId="0" fontId="1" fillId="0" borderId="11" xfId="0" applyFont="1" applyBorder="1" applyAlignment="1">
      <alignment horizontal="right" vertical="center"/>
    </xf>
    <xf numFmtId="176" fontId="1" fillId="0" borderId="5" xfId="0" applyNumberFormat="1" applyFont="1" applyBorder="1" applyAlignment="1">
      <alignment horizontal="right" vertical="center"/>
    </xf>
    <xf numFmtId="176" fontId="1" fillId="0" borderId="0" xfId="0" applyNumberFormat="1" applyFont="1" applyBorder="1" applyAlignment="1">
      <alignment horizontal="right" vertical="center"/>
    </xf>
    <xf numFmtId="201" fontId="1" fillId="0" borderId="0" xfId="0" applyNumberFormat="1" applyFont="1" applyBorder="1" applyAlignment="1">
      <alignment horizontal="right" vertical="center"/>
    </xf>
    <xf numFmtId="201" fontId="1" fillId="0" borderId="5" xfId="0" applyNumberFormat="1" applyFont="1" applyBorder="1" applyAlignment="1">
      <alignment horizontal="right" vertical="center"/>
    </xf>
    <xf numFmtId="189" fontId="1" fillId="0" borderId="0" xfId="0" applyNumberFormat="1" applyFont="1" applyBorder="1" applyAlignment="1">
      <alignment vertical="center"/>
    </xf>
    <xf numFmtId="0" fontId="1" fillId="0" borderId="5" xfId="0" applyFont="1" applyBorder="1" applyAlignment="1">
      <alignment horizontal="center" vertical="center" shrinkToFit="1"/>
    </xf>
    <xf numFmtId="0" fontId="1" fillId="0" borderId="3" xfId="0" applyFont="1" applyBorder="1" applyAlignment="1">
      <alignment horizontal="center" vertical="center" shrinkToFit="1"/>
    </xf>
    <xf numFmtId="0" fontId="0" fillId="0" borderId="0" xfId="0" applyAlignment="1"/>
    <xf numFmtId="0" fontId="0" fillId="0" borderId="0" xfId="0" applyAlignment="1">
      <alignment vertical="top"/>
    </xf>
    <xf numFmtId="0" fontId="1" fillId="0" borderId="0" xfId="0" applyFont="1" applyAlignment="1">
      <alignment horizontal="left" vertical="center"/>
    </xf>
    <xf numFmtId="0" fontId="0" fillId="0" borderId="0" xfId="0" applyAlignment="1">
      <alignment vertical="top" wrapText="1"/>
    </xf>
    <xf numFmtId="0" fontId="1" fillId="0" borderId="0" xfId="0" applyFont="1" applyBorder="1" applyAlignment="1">
      <alignment horizontal="justify"/>
    </xf>
    <xf numFmtId="179" fontId="1" fillId="0" borderId="13" xfId="0" applyNumberFormat="1" applyFont="1" applyBorder="1" applyAlignment="1">
      <alignment horizontal="center" vertical="center"/>
    </xf>
    <xf numFmtId="179" fontId="1" fillId="0" borderId="0" xfId="0" applyNumberFormat="1" applyFont="1" applyBorder="1" applyAlignment="1">
      <alignment horizontal="center" vertical="center"/>
    </xf>
    <xf numFmtId="0" fontId="1" fillId="0" borderId="0" xfId="0" applyFont="1" applyAlignment="1"/>
    <xf numFmtId="0" fontId="1" fillId="0" borderId="0" xfId="0" applyFont="1" applyAlignment="1">
      <alignment horizontal="center"/>
    </xf>
    <xf numFmtId="0" fontId="0" fillId="0" borderId="0" xfId="0" applyBorder="1" applyAlignment="1">
      <alignment vertical="center"/>
    </xf>
    <xf numFmtId="0" fontId="1" fillId="0" borderId="0" xfId="0" applyFont="1" applyAlignment="1">
      <alignment horizontal="center" vertical="top"/>
    </xf>
    <xf numFmtId="0" fontId="0" fillId="0" borderId="0" xfId="0" applyBorder="1" applyAlignment="1"/>
    <xf numFmtId="0" fontId="1" fillId="0" borderId="0" xfId="0" applyFont="1" applyAlignment="1">
      <alignment horizontal="right"/>
    </xf>
    <xf numFmtId="178" fontId="1" fillId="0" borderId="0" xfId="0" applyNumberFormat="1" applyFont="1" applyBorder="1" applyAlignment="1">
      <alignment horizontal="right" vertical="center"/>
    </xf>
    <xf numFmtId="179" fontId="3" fillId="0" borderId="0" xfId="0" applyNumberFormat="1" applyFont="1" applyBorder="1" applyAlignment="1">
      <alignment vertical="center"/>
    </xf>
    <xf numFmtId="0" fontId="13" fillId="0" borderId="0" xfId="0" applyFont="1" applyAlignment="1">
      <alignment vertical="top" wrapText="1"/>
    </xf>
    <xf numFmtId="0" fontId="0" fillId="0" borderId="14" xfId="0" applyBorder="1" applyAlignment="1">
      <alignment vertical="center"/>
    </xf>
    <xf numFmtId="204" fontId="0" fillId="0" borderId="0" xfId="0" applyNumberFormat="1" applyBorder="1" applyAlignment="1">
      <alignment horizontal="right" vertical="center" indent="3"/>
    </xf>
    <xf numFmtId="204" fontId="2" fillId="0" borderId="0" xfId="0" applyNumberFormat="1" applyFont="1" applyBorder="1" applyAlignment="1">
      <alignment horizontal="right" vertical="center" indent="3"/>
    </xf>
    <xf numFmtId="204" fontId="13" fillId="0" borderId="0" xfId="0" applyNumberFormat="1" applyFont="1" applyBorder="1" applyAlignment="1">
      <alignment horizontal="right" vertical="center" indent="3"/>
    </xf>
    <xf numFmtId="0" fontId="1" fillId="0" borderId="11"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9" xfId="0" applyFont="1" applyBorder="1" applyAlignment="1">
      <alignment horizontal="center" vertical="center"/>
    </xf>
    <xf numFmtId="176" fontId="0" fillId="0" borderId="0" xfId="0" applyNumberFormat="1" applyBorder="1" applyAlignment="1">
      <alignment vertical="center"/>
    </xf>
    <xf numFmtId="179" fontId="1" fillId="0" borderId="9" xfId="0" applyNumberFormat="1" applyFont="1" applyBorder="1" applyAlignment="1">
      <alignment vertical="center"/>
    </xf>
    <xf numFmtId="180" fontId="1" fillId="0" borderId="9" xfId="0" applyNumberFormat="1" applyFont="1" applyBorder="1" applyAlignment="1">
      <alignment horizontal="right" vertical="center"/>
    </xf>
    <xf numFmtId="0" fontId="9" fillId="0" borderId="0" xfId="4" applyFont="1" applyFill="1" applyAlignment="1">
      <alignment vertical="center"/>
    </xf>
    <xf numFmtId="186" fontId="3" fillId="0" borderId="0" xfId="4" applyNumberFormat="1" applyFont="1" applyFill="1" applyBorder="1" applyAlignment="1">
      <alignment vertical="center"/>
    </xf>
    <xf numFmtId="0" fontId="10" fillId="0" borderId="0" xfId="4" applyFont="1" applyFill="1" applyAlignment="1">
      <alignment vertical="center"/>
    </xf>
    <xf numFmtId="0" fontId="3" fillId="0" borderId="0" xfId="4" applyFont="1" applyFill="1" applyBorder="1" applyAlignment="1">
      <alignment horizontal="justify" vertical="center"/>
    </xf>
    <xf numFmtId="0" fontId="1" fillId="0" borderId="0" xfId="4" applyFont="1" applyFill="1" applyBorder="1" applyAlignment="1">
      <alignment horizontal="center" vertical="center"/>
    </xf>
    <xf numFmtId="0" fontId="1" fillId="0" borderId="5" xfId="4" applyFont="1" applyFill="1" applyBorder="1" applyAlignment="1">
      <alignment horizontal="center" vertical="center"/>
    </xf>
    <xf numFmtId="0" fontId="1" fillId="0" borderId="15" xfId="4" applyFont="1" applyFill="1" applyBorder="1" applyAlignment="1">
      <alignment horizontal="center" vertical="center"/>
    </xf>
    <xf numFmtId="0" fontId="1" fillId="0" borderId="3" xfId="4" applyFont="1" applyFill="1" applyBorder="1" applyAlignment="1">
      <alignment horizontal="center" vertical="center"/>
    </xf>
    <xf numFmtId="197" fontId="1" fillId="0" borderId="5" xfId="4" applyNumberFormat="1" applyFont="1" applyFill="1" applyBorder="1" applyAlignment="1">
      <alignment vertical="center"/>
    </xf>
    <xf numFmtId="197" fontId="1" fillId="0" borderId="8" xfId="4" applyNumberFormat="1" applyFont="1" applyFill="1" applyBorder="1" applyAlignment="1">
      <alignment vertical="center"/>
    </xf>
    <xf numFmtId="179" fontId="3" fillId="0" borderId="5" xfId="4" applyNumberFormat="1" applyFont="1" applyFill="1" applyBorder="1" applyAlignment="1">
      <alignment vertical="center"/>
    </xf>
    <xf numFmtId="0" fontId="1" fillId="0" borderId="0" xfId="4" applyFont="1" applyFill="1" applyBorder="1" applyAlignment="1">
      <alignment horizontal="justify" vertical="center"/>
    </xf>
    <xf numFmtId="179" fontId="1" fillId="0" borderId="5" xfId="4" applyNumberFormat="1" applyFont="1" applyFill="1" applyBorder="1" applyAlignment="1">
      <alignment vertical="center"/>
    </xf>
    <xf numFmtId="194" fontId="1" fillId="0" borderId="0" xfId="4" applyNumberFormat="1" applyFont="1" applyFill="1" applyBorder="1" applyAlignment="1">
      <alignment vertical="center"/>
    </xf>
    <xf numFmtId="190" fontId="1" fillId="0" borderId="0" xfId="4" applyNumberFormat="1" applyFont="1" applyFill="1" applyBorder="1" applyAlignment="1">
      <alignment vertical="center"/>
    </xf>
    <xf numFmtId="0" fontId="0" fillId="0" borderId="0" xfId="0" applyFont="1" applyFill="1">
      <alignment vertical="center"/>
    </xf>
    <xf numFmtId="0" fontId="1" fillId="0" borderId="0" xfId="0" applyFont="1" applyFill="1">
      <alignment vertical="center"/>
    </xf>
    <xf numFmtId="186" fontId="1" fillId="0" borderId="0" xfId="4" applyNumberFormat="1" applyFont="1" applyFill="1" applyBorder="1" applyAlignment="1">
      <alignment vertical="center"/>
    </xf>
    <xf numFmtId="0" fontId="1" fillId="0" borderId="10" xfId="0" applyFont="1" applyFill="1" applyBorder="1" applyAlignment="1">
      <alignment horizontal="center" vertical="center"/>
    </xf>
    <xf numFmtId="0" fontId="1" fillId="0" borderId="16" xfId="0" applyFont="1" applyFill="1" applyBorder="1" applyAlignment="1">
      <alignment horizontal="center" vertical="center"/>
    </xf>
    <xf numFmtId="178" fontId="1" fillId="0" borderId="16" xfId="0" applyNumberFormat="1" applyFont="1" applyFill="1" applyBorder="1" applyAlignment="1">
      <alignment horizontal="center" vertical="center"/>
    </xf>
    <xf numFmtId="0" fontId="1" fillId="0" borderId="17"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9" fillId="0" borderId="19" xfId="4" applyFont="1" applyFill="1" applyBorder="1" applyAlignment="1">
      <alignment vertical="center"/>
    </xf>
    <xf numFmtId="194" fontId="1" fillId="0" borderId="20" xfId="4" applyNumberFormat="1" applyFont="1" applyFill="1" applyBorder="1" applyAlignment="1">
      <alignment vertical="center"/>
    </xf>
    <xf numFmtId="0" fontId="3" fillId="0" borderId="20" xfId="4" applyNumberFormat="1" applyFont="1" applyFill="1" applyBorder="1" applyAlignment="1">
      <alignment horizontal="justify" vertical="center"/>
    </xf>
    <xf numFmtId="179" fontId="3" fillId="0" borderId="21" xfId="4" applyNumberFormat="1" applyFont="1" applyFill="1" applyBorder="1" applyAlignment="1">
      <alignment vertical="center"/>
    </xf>
    <xf numFmtId="176" fontId="1" fillId="0" borderId="0" xfId="5" applyNumberFormat="1" applyFont="1" applyFill="1" applyBorder="1" applyAlignment="1">
      <alignment vertical="center"/>
    </xf>
    <xf numFmtId="176" fontId="1" fillId="0" borderId="22" xfId="2" applyNumberFormat="1" applyFont="1" applyFill="1" applyBorder="1" applyAlignment="1">
      <alignment vertical="center"/>
    </xf>
    <xf numFmtId="176" fontId="1" fillId="0" borderId="0" xfId="2" applyNumberFormat="1" applyFont="1" applyFill="1" applyBorder="1" applyAlignment="1">
      <alignment vertical="center"/>
    </xf>
    <xf numFmtId="177" fontId="1" fillId="0" borderId="0" xfId="5" applyNumberFormat="1" applyFont="1" applyFill="1" applyBorder="1" applyAlignment="1">
      <alignment vertical="center"/>
    </xf>
    <xf numFmtId="179" fontId="1" fillId="0" borderId="22" xfId="5" applyNumberFormat="1" applyFont="1" applyFill="1" applyBorder="1" applyAlignment="1">
      <alignment vertical="center"/>
    </xf>
    <xf numFmtId="179" fontId="1" fillId="0" borderId="0" xfId="5" applyNumberFormat="1" applyFont="1" applyFill="1" applyBorder="1" applyAlignment="1">
      <alignment vertical="center"/>
    </xf>
    <xf numFmtId="181" fontId="1" fillId="0" borderId="0" xfId="2" applyNumberFormat="1" applyFont="1" applyFill="1" applyBorder="1" applyAlignment="1">
      <alignment vertical="center"/>
    </xf>
    <xf numFmtId="0" fontId="13" fillId="0" borderId="0" xfId="5" applyFill="1" applyAlignment="1">
      <alignment vertical="center"/>
    </xf>
    <xf numFmtId="0" fontId="1" fillId="0" borderId="23" xfId="0" applyFont="1" applyBorder="1" applyAlignment="1">
      <alignment vertical="center"/>
    </xf>
    <xf numFmtId="204" fontId="0" fillId="0" borderId="20" xfId="0" applyNumberFormat="1" applyBorder="1" applyAlignment="1">
      <alignment horizontal="right" vertical="center" indent="3"/>
    </xf>
    <xf numFmtId="0" fontId="1" fillId="0" borderId="19" xfId="0" applyFont="1" applyBorder="1" applyAlignment="1">
      <alignment horizontal="center" vertical="center"/>
    </xf>
    <xf numFmtId="0" fontId="1" fillId="0" borderId="27" xfId="0" applyFont="1" applyBorder="1" applyAlignment="1">
      <alignment horizontal="center" vertical="center"/>
    </xf>
    <xf numFmtId="176" fontId="1" fillId="0" borderId="20" xfId="0" applyNumberFormat="1" applyFont="1" applyBorder="1" applyAlignment="1">
      <alignment vertical="center"/>
    </xf>
    <xf numFmtId="0" fontId="1" fillId="0" borderId="29" xfId="0" applyFont="1" applyBorder="1" applyAlignment="1">
      <alignment vertical="center"/>
    </xf>
    <xf numFmtId="0" fontId="1" fillId="0" borderId="30" xfId="0" applyFont="1" applyBorder="1" applyAlignment="1">
      <alignment vertical="center"/>
    </xf>
    <xf numFmtId="0" fontId="0" fillId="0" borderId="27" xfId="0" applyBorder="1" applyAlignment="1">
      <alignment vertical="center"/>
    </xf>
    <xf numFmtId="0" fontId="0" fillId="0" borderId="31" xfId="0" applyBorder="1" applyAlignment="1">
      <alignment vertical="center"/>
    </xf>
    <xf numFmtId="0" fontId="1" fillId="0" borderId="32" xfId="0" applyFont="1" applyBorder="1" applyAlignment="1">
      <alignment vertical="center"/>
    </xf>
    <xf numFmtId="0" fontId="1" fillId="0" borderId="19" xfId="0" applyFont="1" applyBorder="1" applyAlignment="1">
      <alignment vertical="center"/>
    </xf>
    <xf numFmtId="0" fontId="1" fillId="0" borderId="26" xfId="0" applyFont="1" applyBorder="1" applyAlignment="1">
      <alignment vertical="center"/>
    </xf>
    <xf numFmtId="0" fontId="1" fillId="0" borderId="33" xfId="0" applyFont="1" applyBorder="1" applyAlignment="1">
      <alignment vertical="center"/>
    </xf>
    <xf numFmtId="0" fontId="1" fillId="0" borderId="34" xfId="0" applyFont="1" applyBorder="1" applyAlignment="1">
      <alignment vertical="center"/>
    </xf>
    <xf numFmtId="176" fontId="1" fillId="0" borderId="35" xfId="0" applyNumberFormat="1" applyFont="1" applyBorder="1" applyAlignment="1">
      <alignment vertical="center"/>
    </xf>
    <xf numFmtId="0" fontId="1" fillId="0" borderId="36" xfId="0" applyFont="1" applyBorder="1" applyAlignment="1">
      <alignment horizontal="justify" vertical="center" indent="1"/>
    </xf>
    <xf numFmtId="0" fontId="1" fillId="0" borderId="37" xfId="0" applyFont="1" applyBorder="1" applyAlignment="1">
      <alignment horizontal="justify" vertical="center" indent="1"/>
    </xf>
    <xf numFmtId="176" fontId="1" fillId="0" borderId="21" xfId="0" applyNumberFormat="1" applyFont="1" applyBorder="1" applyAlignment="1">
      <alignment vertical="center"/>
    </xf>
    <xf numFmtId="0" fontId="1" fillId="0" borderId="20" xfId="0" applyFont="1" applyBorder="1" applyAlignment="1">
      <alignment vertical="center"/>
    </xf>
    <xf numFmtId="0" fontId="1" fillId="0" borderId="38" xfId="0" applyFont="1" applyBorder="1" applyAlignment="1">
      <alignment vertical="center"/>
    </xf>
    <xf numFmtId="0" fontId="1" fillId="0" borderId="18" xfId="0" applyFont="1" applyBorder="1" applyAlignment="1">
      <alignment horizontal="center" vertical="center"/>
    </xf>
    <xf numFmtId="0" fontId="1" fillId="0" borderId="40" xfId="0" applyFont="1" applyBorder="1" applyAlignment="1">
      <alignment horizontal="center" vertical="center"/>
    </xf>
    <xf numFmtId="0" fontId="8" fillId="0" borderId="19" xfId="0" applyFont="1" applyBorder="1">
      <alignment vertical="center"/>
    </xf>
    <xf numFmtId="176" fontId="3" fillId="0" borderId="35" xfId="0" applyNumberFormat="1" applyFont="1" applyBorder="1" applyAlignment="1">
      <alignment vertical="center"/>
    </xf>
    <xf numFmtId="0" fontId="8" fillId="0" borderId="36" xfId="0" applyFont="1" applyBorder="1">
      <alignment vertical="center"/>
    </xf>
    <xf numFmtId="0" fontId="1" fillId="0" borderId="41" xfId="0" applyFont="1" applyBorder="1" applyAlignment="1">
      <alignment vertical="center"/>
    </xf>
    <xf numFmtId="190" fontId="1" fillId="0" borderId="33" xfId="0" applyNumberFormat="1" applyFont="1" applyBorder="1" applyAlignment="1">
      <alignment vertical="center" shrinkToFit="1"/>
    </xf>
    <xf numFmtId="190" fontId="1" fillId="0" borderId="19" xfId="0" applyNumberFormat="1" applyFont="1" applyBorder="1" applyAlignment="1">
      <alignment vertical="center"/>
    </xf>
    <xf numFmtId="190" fontId="3" fillId="0" borderId="19" xfId="0" applyNumberFormat="1" applyFont="1" applyBorder="1" applyAlignment="1">
      <alignment vertical="center"/>
    </xf>
    <xf numFmtId="190" fontId="1" fillId="0" borderId="36" xfId="0" applyNumberFormat="1" applyFont="1" applyBorder="1" applyAlignment="1">
      <alignment vertical="center"/>
    </xf>
    <xf numFmtId="189" fontId="1" fillId="0" borderId="20" xfId="0" applyNumberFormat="1" applyFont="1" applyBorder="1" applyAlignment="1">
      <alignment horizontal="right" vertical="center"/>
    </xf>
    <xf numFmtId="203" fontId="1" fillId="0" borderId="20" xfId="0" applyNumberFormat="1" applyFont="1" applyBorder="1" applyAlignment="1">
      <alignment vertical="center"/>
    </xf>
    <xf numFmtId="203" fontId="1" fillId="0" borderId="20" xfId="0" applyNumberFormat="1" applyFont="1" applyBorder="1" applyAlignment="1">
      <alignment horizontal="right" vertical="center"/>
    </xf>
    <xf numFmtId="0" fontId="1" fillId="0" borderId="33" xfId="0" applyFont="1" applyBorder="1" applyAlignment="1">
      <alignment horizontal="center" vertical="center"/>
    </xf>
    <xf numFmtId="207" fontId="1" fillId="0" borderId="0" xfId="0" applyNumberFormat="1" applyFont="1" applyBorder="1" applyAlignment="1">
      <alignment horizontal="right" vertical="center"/>
    </xf>
    <xf numFmtId="207" fontId="3" fillId="0" borderId="0" xfId="0" applyNumberFormat="1" applyFont="1" applyBorder="1" applyAlignment="1">
      <alignment horizontal="right" vertical="center"/>
    </xf>
    <xf numFmtId="207" fontId="1" fillId="0" borderId="20" xfId="0" applyNumberFormat="1" applyFont="1" applyBorder="1" applyAlignment="1">
      <alignment horizontal="right" vertical="center"/>
    </xf>
    <xf numFmtId="203" fontId="1" fillId="0" borderId="43" xfId="0" applyNumberFormat="1" applyFont="1" applyBorder="1" applyAlignment="1">
      <alignment horizontal="distributed" vertical="center"/>
    </xf>
    <xf numFmtId="0" fontId="1" fillId="0" borderId="13" xfId="0" applyFont="1" applyBorder="1" applyAlignment="1">
      <alignment horizontal="right" vertical="center"/>
    </xf>
    <xf numFmtId="0" fontId="1" fillId="0" borderId="16" xfId="0" applyFont="1" applyBorder="1" applyAlignment="1">
      <alignment horizontal="center" vertical="center"/>
    </xf>
    <xf numFmtId="0" fontId="1" fillId="0" borderId="28" xfId="0" applyFont="1" applyBorder="1" applyAlignment="1">
      <alignment vertical="center"/>
    </xf>
    <xf numFmtId="0" fontId="1" fillId="0" borderId="34" xfId="0" applyFont="1" applyBorder="1" applyAlignment="1">
      <alignment horizontal="right" vertical="center"/>
    </xf>
    <xf numFmtId="187" fontId="1" fillId="0" borderId="35" xfId="0" applyNumberFormat="1" applyFont="1" applyBorder="1" applyAlignment="1">
      <alignment horizontal="right" vertical="center"/>
    </xf>
    <xf numFmtId="0" fontId="1" fillId="0" borderId="19" xfId="0" applyNumberFormat="1" applyFont="1" applyBorder="1" applyAlignment="1">
      <alignment horizontal="center" vertical="center"/>
    </xf>
    <xf numFmtId="49" fontId="1" fillId="0" borderId="19" xfId="0" applyNumberFormat="1" applyFont="1" applyBorder="1" applyAlignment="1">
      <alignment horizontal="center" vertical="center"/>
    </xf>
    <xf numFmtId="0" fontId="3" fillId="0" borderId="19"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36" xfId="0" applyFont="1" applyBorder="1" applyAlignment="1">
      <alignment horizontal="center" vertical="center" shrinkToFit="1"/>
    </xf>
    <xf numFmtId="0" fontId="7" fillId="0" borderId="44" xfId="0" applyFont="1" applyBorder="1" applyAlignment="1">
      <alignment horizontal="center" vertical="center" shrinkToFit="1"/>
    </xf>
    <xf numFmtId="0" fontId="1" fillId="0" borderId="45" xfId="0" applyFont="1" applyBorder="1" applyAlignment="1">
      <alignment horizontal="center" vertical="center"/>
    </xf>
    <xf numFmtId="179" fontId="1" fillId="0" borderId="19" xfId="0" applyNumberFormat="1" applyFont="1" applyBorder="1" applyAlignment="1">
      <alignment horizontal="center" vertical="center"/>
    </xf>
    <xf numFmtId="0" fontId="1" fillId="0" borderId="46" xfId="0" applyFont="1" applyBorder="1" applyAlignment="1">
      <alignment vertical="center"/>
    </xf>
    <xf numFmtId="0" fontId="1" fillId="0" borderId="47" xfId="0" applyFont="1" applyBorder="1" applyAlignment="1">
      <alignment vertical="center"/>
    </xf>
    <xf numFmtId="0" fontId="1" fillId="0" borderId="48" xfId="0" applyFont="1" applyBorder="1" applyAlignment="1">
      <alignment vertical="center"/>
    </xf>
    <xf numFmtId="0" fontId="1" fillId="0" borderId="17" xfId="0" applyFont="1" applyFill="1" applyBorder="1" applyAlignment="1">
      <alignment horizontal="center" vertical="center"/>
    </xf>
    <xf numFmtId="0" fontId="1" fillId="0" borderId="36" xfId="0" applyFont="1" applyBorder="1" applyAlignment="1">
      <alignment horizontal="center" vertical="center"/>
    </xf>
    <xf numFmtId="176" fontId="1" fillId="0" borderId="42" xfId="0" applyNumberFormat="1" applyFont="1" applyBorder="1" applyAlignment="1">
      <alignment horizontal="right" vertical="center"/>
    </xf>
    <xf numFmtId="176" fontId="1" fillId="0" borderId="2" xfId="0" applyNumberFormat="1" applyFont="1" applyBorder="1" applyAlignment="1">
      <alignment vertical="center"/>
    </xf>
    <xf numFmtId="0" fontId="1" fillId="0" borderId="0" xfId="0" applyFont="1" applyFill="1" applyBorder="1" applyAlignment="1">
      <alignment vertical="center"/>
    </xf>
    <xf numFmtId="0" fontId="1" fillId="0" borderId="18" xfId="0" applyFont="1" applyFill="1" applyBorder="1" applyAlignment="1">
      <alignment horizontal="center" vertical="center"/>
    </xf>
    <xf numFmtId="0" fontId="9" fillId="0" borderId="19" xfId="0" applyFont="1" applyFill="1" applyBorder="1" applyAlignment="1">
      <alignment vertical="center"/>
    </xf>
    <xf numFmtId="0" fontId="9" fillId="0" borderId="36" xfId="0" applyFont="1" applyFill="1" applyBorder="1" applyAlignment="1">
      <alignment vertical="center"/>
    </xf>
    <xf numFmtId="0" fontId="1" fillId="0" borderId="49" xfId="0" applyFont="1" applyFill="1" applyBorder="1" applyAlignment="1">
      <alignment vertical="center"/>
    </xf>
    <xf numFmtId="0" fontId="1" fillId="0" borderId="32" xfId="0" applyFont="1" applyFill="1" applyBorder="1" applyAlignment="1">
      <alignment vertical="center"/>
    </xf>
    <xf numFmtId="0" fontId="1" fillId="0" borderId="23" xfId="0" applyFont="1" applyFill="1" applyBorder="1" applyAlignment="1">
      <alignment vertical="center"/>
    </xf>
    <xf numFmtId="186" fontId="1" fillId="0" borderId="35" xfId="4" applyNumberFormat="1" applyFont="1" applyFill="1" applyBorder="1" applyAlignment="1">
      <alignment vertical="center"/>
    </xf>
    <xf numFmtId="186" fontId="1" fillId="0" borderId="20" xfId="4" applyNumberFormat="1" applyFont="1" applyFill="1" applyBorder="1" applyAlignment="1">
      <alignment vertical="center"/>
    </xf>
    <xf numFmtId="0" fontId="9" fillId="0" borderId="0" xfId="0" applyFont="1" applyFill="1" applyBorder="1" applyAlignment="1">
      <alignment horizontal="distributed" vertical="center"/>
    </xf>
    <xf numFmtId="200" fontId="1" fillId="0" borderId="5" xfId="0" applyNumberFormat="1" applyFont="1" applyFill="1" applyBorder="1" applyAlignment="1">
      <alignment vertical="center"/>
    </xf>
    <xf numFmtId="0" fontId="1" fillId="0" borderId="50" xfId="0" applyFont="1" applyFill="1" applyBorder="1" applyAlignment="1">
      <alignment horizontal="center"/>
    </xf>
    <xf numFmtId="0" fontId="1" fillId="0" borderId="51" xfId="0" applyFont="1" applyFill="1" applyBorder="1" applyAlignment="1">
      <alignment horizontal="center" vertical="center"/>
    </xf>
    <xf numFmtId="0" fontId="1" fillId="0" borderId="52" xfId="0" applyFont="1" applyFill="1" applyBorder="1" applyAlignment="1">
      <alignment horizontal="center"/>
    </xf>
    <xf numFmtId="0" fontId="1" fillId="0" borderId="53" xfId="0" applyFont="1" applyFill="1" applyBorder="1" applyAlignment="1">
      <alignment horizontal="center" vertical="center"/>
    </xf>
    <xf numFmtId="0" fontId="1" fillId="0" borderId="35" xfId="0" applyFont="1" applyFill="1" applyBorder="1" applyAlignment="1">
      <alignment vertical="center"/>
    </xf>
    <xf numFmtId="0" fontId="1" fillId="0" borderId="36" xfId="0" applyFont="1" applyFill="1" applyBorder="1" applyAlignment="1">
      <alignment horizontal="center" vertical="center"/>
    </xf>
    <xf numFmtId="0" fontId="3" fillId="0" borderId="54" xfId="0" applyFont="1" applyFill="1" applyBorder="1" applyAlignment="1">
      <alignment horizontal="distributed" vertical="center"/>
    </xf>
    <xf numFmtId="0" fontId="1" fillId="0" borderId="50" xfId="0" applyFont="1" applyFill="1" applyBorder="1" applyAlignment="1">
      <alignment horizontal="distributed" vertical="center"/>
    </xf>
    <xf numFmtId="0" fontId="7" fillId="0" borderId="50" xfId="0" applyFont="1" applyFill="1" applyBorder="1" applyAlignment="1">
      <alignment horizontal="distributed" vertical="center"/>
    </xf>
    <xf numFmtId="0" fontId="1" fillId="0" borderId="55" xfId="0" applyFont="1" applyFill="1" applyBorder="1" applyAlignment="1">
      <alignment horizontal="distributed" vertical="center"/>
    </xf>
    <xf numFmtId="0" fontId="3" fillId="0" borderId="50" xfId="0" applyFont="1" applyFill="1" applyBorder="1" applyAlignment="1">
      <alignment horizontal="distributed" vertical="center"/>
    </xf>
    <xf numFmtId="0" fontId="7" fillId="0" borderId="50" xfId="0" applyFont="1" applyFill="1" applyBorder="1" applyAlignment="1">
      <alignment horizontal="distributed" vertical="center" shrinkToFit="1"/>
    </xf>
    <xf numFmtId="0" fontId="1" fillId="0" borderId="56" xfId="0" applyFont="1" applyFill="1" applyBorder="1" applyAlignment="1">
      <alignment horizontal="distributed" vertical="center"/>
    </xf>
    <xf numFmtId="0" fontId="1" fillId="0" borderId="46" xfId="0" applyFont="1" applyFill="1" applyBorder="1" applyAlignment="1">
      <alignment horizontal="center" vertical="center"/>
    </xf>
    <xf numFmtId="0" fontId="1" fillId="0" borderId="13" xfId="0" applyFont="1" applyFill="1" applyBorder="1" applyAlignment="1">
      <alignment horizontal="center" vertical="center"/>
    </xf>
    <xf numFmtId="177" fontId="3" fillId="0" borderId="35" xfId="0" applyNumberFormat="1" applyFont="1" applyFill="1" applyBorder="1" applyAlignment="1">
      <alignment vertical="center"/>
    </xf>
    <xf numFmtId="209" fontId="1" fillId="0" borderId="21" xfId="0" applyNumberFormat="1" applyFont="1" applyFill="1" applyBorder="1" applyAlignment="1">
      <alignment horizontal="right" vertical="center"/>
    </xf>
    <xf numFmtId="0" fontId="1" fillId="0" borderId="19" xfId="0" applyFont="1" applyFill="1" applyBorder="1" applyAlignment="1">
      <alignment horizontal="center" vertical="center"/>
    </xf>
    <xf numFmtId="0" fontId="1" fillId="0" borderId="19" xfId="0" applyFont="1" applyFill="1" applyBorder="1" applyAlignment="1">
      <alignment vertical="center"/>
    </xf>
    <xf numFmtId="0" fontId="3" fillId="0" borderId="19" xfId="0" applyFont="1" applyFill="1" applyBorder="1" applyAlignment="1">
      <alignment vertical="center"/>
    </xf>
    <xf numFmtId="49" fontId="1" fillId="0" borderId="19" xfId="0" applyNumberFormat="1" applyFont="1" applyFill="1" applyBorder="1" applyAlignment="1">
      <alignment horizontal="center" vertical="center"/>
    </xf>
    <xf numFmtId="49" fontId="3" fillId="0" borderId="19" xfId="0" applyNumberFormat="1" applyFont="1" applyFill="1" applyBorder="1" applyAlignment="1">
      <alignment vertical="center"/>
    </xf>
    <xf numFmtId="49" fontId="1" fillId="0" borderId="19" xfId="0" applyNumberFormat="1" applyFont="1" applyFill="1" applyBorder="1" applyAlignment="1">
      <alignment vertical="center"/>
    </xf>
    <xf numFmtId="0" fontId="1" fillId="0" borderId="36" xfId="0" applyFont="1" applyFill="1" applyBorder="1" applyAlignment="1">
      <alignment vertical="center"/>
    </xf>
    <xf numFmtId="0" fontId="1" fillId="0" borderId="21" xfId="0" applyFont="1" applyFill="1" applyBorder="1" applyAlignment="1">
      <alignment vertical="center"/>
    </xf>
    <xf numFmtId="0" fontId="9" fillId="0" borderId="57"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57" xfId="4" applyFont="1" applyFill="1" applyBorder="1" applyAlignment="1">
      <alignment horizontal="center" vertical="center"/>
    </xf>
    <xf numFmtId="0" fontId="13" fillId="0" borderId="57" xfId="0" applyFont="1" applyFill="1" applyBorder="1">
      <alignment vertical="center"/>
    </xf>
    <xf numFmtId="0" fontId="1" fillId="0" borderId="5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0" xfId="0" applyFill="1" applyBorder="1" applyAlignment="1">
      <alignment vertical="center"/>
    </xf>
    <xf numFmtId="0" fontId="1" fillId="0" borderId="35" xfId="0" applyFont="1" applyFill="1" applyBorder="1" applyAlignment="1">
      <alignment horizontal="center" vertical="center"/>
    </xf>
    <xf numFmtId="0" fontId="23" fillId="0" borderId="0" xfId="0" applyFont="1" applyFill="1">
      <alignment vertical="center"/>
    </xf>
    <xf numFmtId="0" fontId="23" fillId="0" borderId="0" xfId="0" applyFont="1" applyFill="1" applyAlignment="1">
      <alignment vertical="center"/>
    </xf>
    <xf numFmtId="0" fontId="23" fillId="0" borderId="0" xfId="0" applyFont="1" applyFill="1" applyBorder="1">
      <alignment vertical="center"/>
    </xf>
    <xf numFmtId="178" fontId="3" fillId="0" borderId="0" xfId="4" applyNumberFormat="1" applyFont="1" applyFill="1" applyBorder="1" applyAlignment="1">
      <alignment vertical="center"/>
    </xf>
    <xf numFmtId="178" fontId="1" fillId="0" borderId="0" xfId="4" applyNumberFormat="1" applyFont="1" applyFill="1" applyBorder="1" applyAlignment="1">
      <alignment vertical="center"/>
    </xf>
    <xf numFmtId="178" fontId="1" fillId="0" borderId="20" xfId="4" applyNumberFormat="1" applyFont="1" applyFill="1" applyBorder="1" applyAlignment="1">
      <alignment vertical="center"/>
    </xf>
    <xf numFmtId="179" fontId="3" fillId="0" borderId="0" xfId="4" applyNumberFormat="1" applyFont="1" applyFill="1" applyBorder="1" applyAlignment="1">
      <alignment vertical="center"/>
    </xf>
    <xf numFmtId="179" fontId="1" fillId="0" borderId="0" xfId="4" applyNumberFormat="1" applyFont="1" applyFill="1" applyBorder="1" applyAlignment="1">
      <alignment vertical="center"/>
    </xf>
    <xf numFmtId="178" fontId="3" fillId="0" borderId="9" xfId="4" applyNumberFormat="1" applyFont="1" applyFill="1" applyBorder="1" applyAlignment="1">
      <alignment vertical="center"/>
    </xf>
    <xf numFmtId="186" fontId="3" fillId="0" borderId="13" xfId="4" applyNumberFormat="1" applyFont="1" applyFill="1" applyBorder="1" applyAlignment="1">
      <alignment vertical="center"/>
    </xf>
    <xf numFmtId="186" fontId="1" fillId="0" borderId="13" xfId="4" applyNumberFormat="1" applyFont="1" applyFill="1" applyBorder="1" applyAlignment="1">
      <alignment vertical="center"/>
    </xf>
    <xf numFmtId="186" fontId="1" fillId="0" borderId="37" xfId="4" applyNumberFormat="1" applyFont="1" applyFill="1" applyBorder="1" applyAlignment="1">
      <alignment vertical="center"/>
    </xf>
    <xf numFmtId="178" fontId="3" fillId="0" borderId="20" xfId="4" applyNumberFormat="1" applyFont="1" applyFill="1" applyBorder="1" applyAlignment="1">
      <alignment vertical="center"/>
    </xf>
    <xf numFmtId="179" fontId="3" fillId="0" borderId="20" xfId="4" applyNumberFormat="1" applyFont="1" applyFill="1" applyBorder="1" applyAlignment="1">
      <alignment vertical="center"/>
    </xf>
    <xf numFmtId="178" fontId="1" fillId="0" borderId="9" xfId="4" applyNumberFormat="1" applyFont="1" applyFill="1" applyBorder="1" applyAlignment="1">
      <alignment vertical="center"/>
    </xf>
    <xf numFmtId="193" fontId="3" fillId="0" borderId="35" xfId="4" applyNumberFormat="1" applyFont="1" applyFill="1" applyBorder="1" applyAlignment="1">
      <alignment vertical="center"/>
    </xf>
    <xf numFmtId="195" fontId="1" fillId="0" borderId="35" xfId="4" applyNumberFormat="1" applyFont="1" applyFill="1" applyBorder="1" applyAlignment="1">
      <alignment vertical="center"/>
    </xf>
    <xf numFmtId="195" fontId="3" fillId="0" borderId="42" xfId="4" applyNumberFormat="1" applyFont="1" applyFill="1" applyBorder="1" applyAlignment="1">
      <alignment vertical="center"/>
    </xf>
    <xf numFmtId="0" fontId="1" fillId="0" borderId="0" xfId="4" applyFont="1" applyFill="1" applyBorder="1" applyAlignment="1">
      <alignment horizontal="distributed" vertical="center"/>
    </xf>
    <xf numFmtId="0" fontId="1" fillId="0" borderId="20" xfId="4" applyFont="1" applyFill="1" applyBorder="1" applyAlignment="1">
      <alignment horizontal="distributed" vertical="center"/>
    </xf>
    <xf numFmtId="194" fontId="3" fillId="0" borderId="0" xfId="4" applyNumberFormat="1" applyFont="1" applyFill="1" applyBorder="1" applyAlignment="1">
      <alignment horizontal="distributed" vertical="center"/>
    </xf>
    <xf numFmtId="194" fontId="1" fillId="0" borderId="0" xfId="4" applyNumberFormat="1" applyFont="1" applyFill="1" applyBorder="1" applyAlignment="1">
      <alignment horizontal="distributed" vertical="center"/>
    </xf>
    <xf numFmtId="0" fontId="1" fillId="0" borderId="40" xfId="0" applyFont="1" applyFill="1" applyBorder="1" applyAlignment="1">
      <alignment horizontal="center" vertical="center"/>
    </xf>
    <xf numFmtId="197" fontId="1" fillId="0" borderId="44" xfId="4" applyNumberFormat="1" applyFont="1" applyFill="1" applyBorder="1" applyAlignment="1">
      <alignment vertical="center"/>
    </xf>
    <xf numFmtId="197" fontId="1" fillId="0" borderId="28" xfId="4" applyNumberFormat="1" applyFont="1" applyFill="1" applyBorder="1" applyAlignment="1">
      <alignment vertical="center"/>
    </xf>
    <xf numFmtId="197" fontId="1" fillId="0" borderId="23" xfId="4" applyNumberFormat="1" applyFont="1" applyFill="1" applyBorder="1" applyAlignment="1">
      <alignment vertical="center"/>
    </xf>
    <xf numFmtId="199" fontId="3" fillId="0" borderId="21" xfId="0" applyNumberFormat="1" applyFont="1" applyFill="1" applyBorder="1" applyAlignment="1">
      <alignment horizontal="center" vertical="center"/>
    </xf>
    <xf numFmtId="199" fontId="3" fillId="0" borderId="59" xfId="0" applyNumberFormat="1" applyFont="1" applyFill="1" applyBorder="1" applyAlignment="1">
      <alignment horizontal="center" vertical="center"/>
    </xf>
    <xf numFmtId="179" fontId="1" fillId="0" borderId="13"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0" xfId="0" applyNumberFormat="1" applyFont="1" applyBorder="1" applyAlignment="1">
      <alignment horizontal="right" vertical="center"/>
    </xf>
    <xf numFmtId="179" fontId="3" fillId="0" borderId="37" xfId="0" applyNumberFormat="1" applyFont="1" applyBorder="1" applyAlignment="1">
      <alignment horizontal="right" vertical="center"/>
    </xf>
    <xf numFmtId="179" fontId="3" fillId="0" borderId="42" xfId="0" applyNumberFormat="1" applyFont="1" applyBorder="1" applyAlignment="1">
      <alignment horizontal="right" vertical="center"/>
    </xf>
    <xf numFmtId="0" fontId="1" fillId="0" borderId="27"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19" xfId="0" applyFont="1" applyBorder="1" applyAlignment="1">
      <alignment horizontal="justify" vertical="center"/>
    </xf>
    <xf numFmtId="0" fontId="23" fillId="0" borderId="0" xfId="0" applyFont="1" applyAlignment="1">
      <alignment vertical="center"/>
    </xf>
    <xf numFmtId="0" fontId="8" fillId="0" borderId="31" xfId="0" applyFont="1" applyBorder="1" applyAlignment="1">
      <alignment vertical="center"/>
    </xf>
    <xf numFmtId="187" fontId="1" fillId="0" borderId="0" xfId="1" applyNumberFormat="1" applyFont="1" applyFill="1" applyBorder="1" applyAlignment="1" applyProtection="1">
      <alignment horizontal="right" vertical="center"/>
    </xf>
    <xf numFmtId="179" fontId="1" fillId="0" borderId="0" xfId="4" applyNumberFormat="1" applyFont="1" applyFill="1" applyBorder="1" applyAlignment="1">
      <alignment horizontal="right" vertical="center"/>
    </xf>
    <xf numFmtId="179" fontId="1" fillId="0" borderId="0" xfId="0" applyNumberFormat="1" applyFont="1" applyFill="1" applyBorder="1" applyAlignment="1">
      <alignment vertical="center"/>
    </xf>
    <xf numFmtId="205" fontId="1" fillId="0" borderId="35" xfId="0" applyNumberFormat="1" applyFont="1" applyBorder="1" applyAlignment="1">
      <alignment horizontal="right" vertical="center"/>
    </xf>
    <xf numFmtId="190" fontId="1" fillId="0" borderId="9" xfId="0" applyNumberFormat="1" applyFont="1" applyFill="1" applyBorder="1" applyAlignment="1">
      <alignment vertical="center"/>
    </xf>
    <xf numFmtId="189" fontId="1" fillId="0" borderId="9" xfId="0" applyNumberFormat="1" applyFont="1" applyFill="1" applyBorder="1" applyAlignment="1">
      <alignment vertical="center"/>
    </xf>
    <xf numFmtId="190" fontId="1" fillId="0" borderId="0" xfId="0" applyNumberFormat="1" applyFont="1" applyFill="1" applyBorder="1" applyAlignment="1">
      <alignment vertical="center"/>
    </xf>
    <xf numFmtId="189" fontId="1" fillId="0" borderId="0" xfId="0" applyNumberFormat="1" applyFont="1" applyFill="1" applyBorder="1" applyAlignment="1">
      <alignment vertical="center"/>
    </xf>
    <xf numFmtId="203" fontId="1" fillId="0" borderId="0" xfId="0" applyNumberFormat="1" applyFont="1" applyFill="1" applyBorder="1" applyAlignment="1">
      <alignment vertical="center"/>
    </xf>
    <xf numFmtId="202" fontId="1" fillId="0" borderId="0" xfId="0" applyNumberFormat="1" applyFont="1" applyFill="1" applyBorder="1" applyAlignment="1">
      <alignment vertical="center"/>
    </xf>
    <xf numFmtId="190" fontId="3" fillId="0" borderId="0" xfId="0" applyNumberFormat="1" applyFont="1" applyFill="1" applyBorder="1" applyAlignment="1">
      <alignment vertical="center"/>
    </xf>
    <xf numFmtId="186" fontId="1" fillId="0" borderId="20" xfId="0" applyNumberFormat="1" applyFont="1" applyFill="1" applyBorder="1" applyAlignment="1">
      <alignment vertical="center"/>
    </xf>
    <xf numFmtId="201" fontId="1" fillId="0" borderId="9" xfId="0" applyNumberFormat="1" applyFont="1" applyFill="1" applyBorder="1" applyAlignment="1">
      <alignment horizontal="right" vertical="center"/>
    </xf>
    <xf numFmtId="202" fontId="1" fillId="0" borderId="0" xfId="0" applyNumberFormat="1" applyFont="1" applyFill="1" applyBorder="1" applyAlignment="1">
      <alignment horizontal="right" vertical="center"/>
    </xf>
    <xf numFmtId="202" fontId="3" fillId="0" borderId="0" xfId="0" applyNumberFormat="1" applyFont="1" applyFill="1" applyBorder="1" applyAlignment="1">
      <alignment horizontal="right" vertical="center"/>
    </xf>
    <xf numFmtId="202" fontId="1" fillId="0" borderId="20" xfId="0" applyNumberFormat="1" applyFont="1" applyFill="1" applyBorder="1" applyAlignment="1">
      <alignment horizontal="right" vertical="center"/>
    </xf>
    <xf numFmtId="197" fontId="1" fillId="0" borderId="34" xfId="0" applyNumberFormat="1" applyFont="1" applyFill="1" applyBorder="1" applyAlignment="1">
      <alignment vertical="center"/>
    </xf>
    <xf numFmtId="197" fontId="1" fillId="0" borderId="35" xfId="0" applyNumberFormat="1" applyFont="1" applyFill="1" applyBorder="1" applyAlignment="1">
      <alignment vertical="center"/>
    </xf>
    <xf numFmtId="197" fontId="3" fillId="0" borderId="35" xfId="0" applyNumberFormat="1" applyFont="1" applyFill="1" applyBorder="1" applyAlignment="1">
      <alignment vertical="center"/>
    </xf>
    <xf numFmtId="197" fontId="1" fillId="0" borderId="42" xfId="0" applyNumberFormat="1" applyFont="1" applyFill="1" applyBorder="1" applyAlignment="1">
      <alignment vertical="center"/>
    </xf>
    <xf numFmtId="190" fontId="1" fillId="0" borderId="19" xfId="0" applyNumberFormat="1" applyFont="1" applyBorder="1" applyAlignment="1">
      <alignment horizontal="right" vertical="center"/>
    </xf>
    <xf numFmtId="190" fontId="1" fillId="0" borderId="0" xfId="0" applyNumberFormat="1" applyFont="1" applyBorder="1" applyAlignment="1">
      <alignment horizontal="right" vertical="center"/>
    </xf>
    <xf numFmtId="205" fontId="1" fillId="0" borderId="0" xfId="0" applyNumberFormat="1" applyFont="1" applyBorder="1" applyAlignment="1">
      <alignment horizontal="right" vertical="center"/>
    </xf>
    <xf numFmtId="203" fontId="1" fillId="0" borderId="0" xfId="0" applyNumberFormat="1" applyFont="1" applyFill="1" applyBorder="1" applyAlignment="1">
      <alignment horizontal="right" vertical="center"/>
    </xf>
    <xf numFmtId="203" fontId="3" fillId="0" borderId="0" xfId="0" applyNumberFormat="1" applyFont="1" applyFill="1" applyBorder="1" applyAlignment="1">
      <alignment horizontal="right" vertical="center"/>
    </xf>
    <xf numFmtId="203" fontId="1" fillId="0" borderId="20" xfId="0" applyNumberFormat="1" applyFont="1" applyFill="1" applyBorder="1" applyAlignment="1">
      <alignment horizontal="right" vertical="center"/>
    </xf>
    <xf numFmtId="41" fontId="1" fillId="0" borderId="0" xfId="0" applyNumberFormat="1" applyFont="1" applyFill="1" applyBorder="1" applyAlignment="1">
      <alignment horizontal="right" vertical="center" shrinkToFit="1"/>
    </xf>
    <xf numFmtId="179" fontId="0" fillId="0" borderId="0" xfId="0" applyNumberFormat="1" applyAlignment="1">
      <alignment vertical="center"/>
    </xf>
    <xf numFmtId="180" fontId="1" fillId="0" borderId="0" xfId="0" applyNumberFormat="1" applyFont="1" applyFill="1" applyBorder="1" applyAlignment="1">
      <alignment vertical="center"/>
    </xf>
    <xf numFmtId="180" fontId="1" fillId="0" borderId="35" xfId="0" applyNumberFormat="1" applyFont="1" applyFill="1" applyBorder="1" applyAlignment="1">
      <alignment vertical="center"/>
    </xf>
    <xf numFmtId="206" fontId="1" fillId="0" borderId="9" xfId="0" applyNumberFormat="1" applyFont="1" applyFill="1" applyBorder="1" applyAlignment="1">
      <alignment horizontal="right" vertical="center"/>
    </xf>
    <xf numFmtId="206" fontId="1" fillId="0" borderId="34" xfId="0" applyNumberFormat="1" applyFont="1" applyFill="1" applyBorder="1" applyAlignment="1">
      <alignment horizontal="right" vertical="center"/>
    </xf>
    <xf numFmtId="176" fontId="3" fillId="0" borderId="9" xfId="0" applyNumberFormat="1" applyFont="1" applyBorder="1" applyAlignment="1">
      <alignment horizontal="right" vertical="center"/>
    </xf>
    <xf numFmtId="176" fontId="3" fillId="0" borderId="34" xfId="0" applyNumberFormat="1" applyFont="1" applyBorder="1" applyAlignment="1">
      <alignment horizontal="right" vertical="center"/>
    </xf>
    <xf numFmtId="176" fontId="1" fillId="0" borderId="35" xfId="0" applyNumberFormat="1" applyFont="1" applyBorder="1" applyAlignment="1">
      <alignment horizontal="right" vertical="center"/>
    </xf>
    <xf numFmtId="176" fontId="1" fillId="0" borderId="20" xfId="0" applyNumberFormat="1" applyFont="1" applyBorder="1" applyAlignment="1">
      <alignment horizontal="right" vertical="center"/>
    </xf>
    <xf numFmtId="176" fontId="1" fillId="0" borderId="5" xfId="0" applyNumberFormat="1" applyFont="1" applyBorder="1" applyAlignment="1">
      <alignment vertical="center" shrinkToFit="1"/>
    </xf>
    <xf numFmtId="176" fontId="1" fillId="0" borderId="0" xfId="0" applyNumberFormat="1" applyFont="1" applyBorder="1" applyAlignment="1">
      <alignment vertical="center" shrinkToFit="1"/>
    </xf>
    <xf numFmtId="176" fontId="1" fillId="0" borderId="35" xfId="0" applyNumberFormat="1" applyFont="1" applyBorder="1" applyAlignment="1">
      <alignment vertical="center" shrinkToFit="1"/>
    </xf>
    <xf numFmtId="176" fontId="3" fillId="0" borderId="5" xfId="0" applyNumberFormat="1" applyFont="1" applyBorder="1" applyAlignment="1">
      <alignment vertical="center" shrinkToFit="1"/>
    </xf>
    <xf numFmtId="176" fontId="3" fillId="0" borderId="0" xfId="0" applyNumberFormat="1" applyFont="1" applyBorder="1" applyAlignment="1">
      <alignment vertical="center" shrinkToFit="1"/>
    </xf>
    <xf numFmtId="176" fontId="3" fillId="0" borderId="0" xfId="0" applyNumberFormat="1" applyFont="1" applyFill="1" applyBorder="1" applyAlignment="1">
      <alignment vertical="center" shrinkToFit="1"/>
    </xf>
    <xf numFmtId="176" fontId="3" fillId="0" borderId="35" xfId="0" applyNumberFormat="1" applyFont="1" applyFill="1" applyBorder="1" applyAlignment="1">
      <alignment vertical="center" shrinkToFit="1"/>
    </xf>
    <xf numFmtId="176" fontId="1" fillId="0" borderId="0" xfId="0" applyNumberFormat="1" applyFont="1" applyFill="1" applyBorder="1" applyAlignment="1">
      <alignment vertical="center" shrinkToFit="1"/>
    </xf>
    <xf numFmtId="176" fontId="1" fillId="0" borderId="35" xfId="0" applyNumberFormat="1" applyFont="1" applyFill="1" applyBorder="1" applyAlignment="1">
      <alignment horizontal="right" vertical="center" shrinkToFit="1"/>
    </xf>
    <xf numFmtId="176" fontId="1" fillId="0" borderId="35" xfId="0" applyNumberFormat="1" applyFont="1" applyFill="1" applyBorder="1" applyAlignment="1">
      <alignment vertical="center" shrinkToFit="1"/>
    </xf>
    <xf numFmtId="176" fontId="1" fillId="0" borderId="21" xfId="0" applyNumberFormat="1" applyFont="1" applyBorder="1" applyAlignment="1">
      <alignment vertical="center" shrinkToFit="1"/>
    </xf>
    <xf numFmtId="176" fontId="1" fillId="0" borderId="20" xfId="0" applyNumberFormat="1" applyFont="1" applyBorder="1" applyAlignment="1">
      <alignment vertical="center" shrinkToFit="1"/>
    </xf>
    <xf numFmtId="176" fontId="1" fillId="0" borderId="20" xfId="0" applyNumberFormat="1" applyFont="1" applyFill="1" applyBorder="1" applyAlignment="1">
      <alignment vertical="center" shrinkToFit="1"/>
    </xf>
    <xf numFmtId="176" fontId="1" fillId="0" borderId="42" xfId="0" applyNumberFormat="1" applyFont="1" applyFill="1" applyBorder="1" applyAlignment="1">
      <alignment vertical="center" shrinkToFit="1"/>
    </xf>
    <xf numFmtId="180" fontId="1" fillId="0" borderId="35" xfId="0" applyNumberFormat="1" applyFont="1" applyBorder="1" applyAlignment="1">
      <alignment horizontal="right" vertical="center"/>
    </xf>
    <xf numFmtId="0" fontId="1" fillId="0" borderId="60" xfId="0" applyFont="1" applyBorder="1" applyAlignment="1">
      <alignment horizontal="center" vertical="center"/>
    </xf>
    <xf numFmtId="41" fontId="1" fillId="0" borderId="0" xfId="0" applyNumberFormat="1" applyFont="1" applyBorder="1" applyAlignment="1">
      <alignment horizontal="right" vertical="center" shrinkToFit="1"/>
    </xf>
    <xf numFmtId="0" fontId="14" fillId="0" borderId="0" xfId="6" applyFont="1" applyAlignment="1">
      <alignment horizontal="centerContinuous" vertical="center"/>
    </xf>
    <xf numFmtId="0" fontId="13" fillId="0" borderId="0" xfId="6" applyAlignment="1">
      <alignment horizontal="centerContinuous"/>
    </xf>
    <xf numFmtId="0" fontId="13" fillId="0" borderId="0" xfId="6"/>
    <xf numFmtId="0" fontId="16" fillId="0" borderId="0" xfId="6" applyFont="1" applyAlignment="1">
      <alignment vertical="center"/>
    </xf>
    <xf numFmtId="0" fontId="1" fillId="0" borderId="0" xfId="6" applyFont="1" applyAlignment="1">
      <alignment vertical="center"/>
    </xf>
    <xf numFmtId="0" fontId="13" fillId="0" borderId="38" xfId="6" applyBorder="1"/>
    <xf numFmtId="0" fontId="13" fillId="0" borderId="38" xfId="6" applyBorder="1" applyAlignment="1">
      <alignment horizontal="center"/>
    </xf>
    <xf numFmtId="176" fontId="1" fillId="0" borderId="38" xfId="6" applyNumberFormat="1" applyFont="1" applyBorder="1" applyAlignment="1">
      <alignment vertical="center"/>
    </xf>
    <xf numFmtId="0" fontId="9" fillId="0" borderId="38" xfId="6" applyFont="1" applyBorder="1" applyAlignment="1">
      <alignment horizontal="center" vertical="center"/>
    </xf>
    <xf numFmtId="0" fontId="9" fillId="0" borderId="0" xfId="6" applyFont="1" applyBorder="1" applyAlignment="1">
      <alignment horizontal="center" vertical="center"/>
    </xf>
    <xf numFmtId="0" fontId="13" fillId="0" borderId="0" xfId="6" applyBorder="1"/>
    <xf numFmtId="0" fontId="1" fillId="0" borderId="38" xfId="6" applyFont="1" applyBorder="1" applyAlignment="1">
      <alignment horizontal="center" vertical="center"/>
    </xf>
    <xf numFmtId="0" fontId="1" fillId="0" borderId="0" xfId="6" applyFont="1" applyBorder="1" applyAlignment="1">
      <alignment horizontal="center" vertical="center"/>
    </xf>
    <xf numFmtId="191" fontId="3" fillId="0" borderId="0" xfId="6" applyNumberFormat="1" applyFont="1" applyBorder="1" applyAlignment="1">
      <alignment horizontal="right" vertical="center" indent="1"/>
    </xf>
    <xf numFmtId="0" fontId="9" fillId="0" borderId="0" xfId="6" applyFont="1"/>
    <xf numFmtId="0" fontId="8" fillId="0" borderId="38" xfId="6" applyFont="1" applyBorder="1"/>
    <xf numFmtId="38" fontId="13" fillId="0" borderId="0" xfId="6" applyNumberFormat="1"/>
    <xf numFmtId="176" fontId="1" fillId="0" borderId="0" xfId="6" applyNumberFormat="1" applyFont="1" applyBorder="1" applyAlignment="1">
      <alignment vertical="center"/>
    </xf>
    <xf numFmtId="176" fontId="1" fillId="0" borderId="38" xfId="6" applyNumberFormat="1" applyFont="1" applyFill="1" applyBorder="1" applyAlignment="1">
      <alignment vertical="center"/>
    </xf>
    <xf numFmtId="0" fontId="13" fillId="0" borderId="38" xfId="6" applyBorder="1" applyAlignment="1">
      <alignment vertical="center"/>
    </xf>
    <xf numFmtId="0" fontId="1" fillId="0" borderId="38" xfId="6" applyFont="1" applyBorder="1" applyAlignment="1">
      <alignment horizontal="left" vertical="center"/>
    </xf>
    <xf numFmtId="38" fontId="8" fillId="0" borderId="38" xfId="3" applyFont="1" applyBorder="1"/>
    <xf numFmtId="49" fontId="1" fillId="0" borderId="0" xfId="6" applyNumberFormat="1" applyFont="1"/>
    <xf numFmtId="0" fontId="1" fillId="0" borderId="38" xfId="6" applyFont="1" applyBorder="1"/>
    <xf numFmtId="0" fontId="1" fillId="0" borderId="38" xfId="6" applyNumberFormat="1" applyFont="1" applyBorder="1" applyAlignment="1">
      <alignment horizontal="center"/>
    </xf>
    <xf numFmtId="0" fontId="1" fillId="0" borderId="0" xfId="6" applyFont="1"/>
    <xf numFmtId="0" fontId="1" fillId="0" borderId="0" xfId="6" applyFont="1" applyFill="1"/>
    <xf numFmtId="203" fontId="1" fillId="0" borderId="9" xfId="0" applyNumberFormat="1" applyFont="1" applyFill="1" applyBorder="1" applyAlignment="1">
      <alignment vertical="center"/>
    </xf>
    <xf numFmtId="203" fontId="1" fillId="0" borderId="20" xfId="0" applyNumberFormat="1" applyFont="1" applyFill="1" applyBorder="1" applyAlignment="1">
      <alignment vertical="center"/>
    </xf>
    <xf numFmtId="179" fontId="1" fillId="0" borderId="38" xfId="6" applyNumberFormat="1" applyFont="1" applyBorder="1" applyAlignment="1">
      <alignment vertical="center"/>
    </xf>
    <xf numFmtId="179" fontId="1" fillId="0" borderId="38" xfId="6" applyNumberFormat="1" applyFont="1" applyFill="1" applyBorder="1" applyAlignment="1">
      <alignment vertical="center"/>
    </xf>
    <xf numFmtId="194" fontId="1" fillId="0" borderId="38" xfId="4" applyNumberFormat="1" applyFont="1" applyFill="1" applyBorder="1" applyAlignment="1">
      <alignment vertical="center"/>
    </xf>
    <xf numFmtId="0" fontId="8" fillId="0" borderId="38" xfId="6" applyFont="1" applyBorder="1" applyAlignment="1">
      <alignment horizontal="center"/>
    </xf>
    <xf numFmtId="0" fontId="1" fillId="0" borderId="38" xfId="6" applyFont="1" applyBorder="1" applyAlignment="1">
      <alignment horizontal="center"/>
    </xf>
    <xf numFmtId="0" fontId="1" fillId="0" borderId="61" xfId="6" applyFont="1" applyBorder="1" applyAlignment="1">
      <alignment horizontal="center"/>
    </xf>
    <xf numFmtId="176" fontId="1" fillId="0" borderId="38" xfId="0" applyNumberFormat="1" applyFont="1" applyFill="1" applyBorder="1" applyAlignment="1">
      <alignment horizontal="right" vertical="center"/>
    </xf>
    <xf numFmtId="201" fontId="1" fillId="0" borderId="38" xfId="0" applyNumberFormat="1" applyFont="1" applyBorder="1" applyAlignment="1">
      <alignment horizontal="right" vertical="center"/>
    </xf>
    <xf numFmtId="185" fontId="1" fillId="0" borderId="38" xfId="0" applyNumberFormat="1" applyFont="1" applyFill="1" applyBorder="1" applyAlignment="1">
      <alignment horizontal="right" vertical="center"/>
    </xf>
    <xf numFmtId="185" fontId="1" fillId="0" borderId="38" xfId="6" applyNumberFormat="1" applyFont="1" applyBorder="1"/>
    <xf numFmtId="0" fontId="17" fillId="0" borderId="0" xfId="6" applyFont="1" applyBorder="1" applyAlignment="1">
      <alignment horizontal="center" vertical="center"/>
    </xf>
    <xf numFmtId="0" fontId="1" fillId="0" borderId="13" xfId="0" applyFont="1" applyBorder="1" applyAlignment="1">
      <alignment horizontal="justify" vertical="center"/>
    </xf>
    <xf numFmtId="0" fontId="1" fillId="0" borderId="57" xfId="0" applyFont="1" applyBorder="1" applyAlignment="1">
      <alignment horizontal="justify" vertical="center"/>
    </xf>
    <xf numFmtId="176" fontId="1" fillId="0" borderId="0" xfId="0" applyNumberFormat="1" applyFont="1" applyBorder="1">
      <alignment vertical="center"/>
    </xf>
    <xf numFmtId="176" fontId="1" fillId="0" borderId="35" xfId="0" applyNumberFormat="1" applyFont="1" applyBorder="1">
      <alignment vertical="center"/>
    </xf>
    <xf numFmtId="198" fontId="1" fillId="0" borderId="35" xfId="0" applyNumberFormat="1" applyFont="1" applyBorder="1" applyAlignment="1">
      <alignment vertical="center"/>
    </xf>
    <xf numFmtId="198" fontId="1" fillId="0" borderId="42" xfId="0" applyNumberFormat="1" applyFont="1" applyBorder="1" applyAlignment="1">
      <alignment vertical="center"/>
    </xf>
    <xf numFmtId="198" fontId="23" fillId="0" borderId="35" xfId="0" applyNumberFormat="1" applyFont="1" applyBorder="1" applyAlignment="1">
      <alignment vertical="center"/>
    </xf>
    <xf numFmtId="176" fontId="0" fillId="0" borderId="0" xfId="0" applyNumberFormat="1" applyBorder="1" applyAlignment="1">
      <alignment horizontal="right" vertical="center"/>
    </xf>
    <xf numFmtId="41" fontId="1" fillId="0" borderId="35" xfId="0" applyNumberFormat="1" applyFont="1" applyBorder="1" applyAlignment="1">
      <alignment horizontal="right" vertical="center" shrinkToFit="1"/>
    </xf>
    <xf numFmtId="41" fontId="1" fillId="0" borderId="0" xfId="0" applyNumberFormat="1" applyFont="1" applyBorder="1" applyAlignment="1">
      <alignment horizontal="right" vertical="center"/>
    </xf>
    <xf numFmtId="41" fontId="1" fillId="0" borderId="20" xfId="0" applyNumberFormat="1" applyFont="1" applyBorder="1" applyAlignment="1">
      <alignment horizontal="right" vertical="center"/>
    </xf>
    <xf numFmtId="0" fontId="22" fillId="0" borderId="0" xfId="0" applyFont="1" applyAlignment="1">
      <alignment vertical="center"/>
    </xf>
    <xf numFmtId="0" fontId="23" fillId="0" borderId="0" xfId="0" applyFont="1" applyAlignment="1">
      <alignment horizontal="right" vertical="center"/>
    </xf>
    <xf numFmtId="0" fontId="24" fillId="0" borderId="0" xfId="0" applyFont="1" applyAlignment="1">
      <alignment vertical="center"/>
    </xf>
    <xf numFmtId="0" fontId="1" fillId="0" borderId="61" xfId="0" applyFont="1" applyBorder="1" applyAlignment="1">
      <alignment vertical="center"/>
    </xf>
    <xf numFmtId="181" fontId="1" fillId="0" borderId="22" xfId="2" applyNumberFormat="1" applyFont="1" applyFill="1" applyBorder="1" applyAlignment="1">
      <alignment vertical="center"/>
    </xf>
    <xf numFmtId="176" fontId="9" fillId="0" borderId="0" xfId="0" applyNumberFormat="1" applyFont="1" applyFill="1" applyBorder="1" applyAlignment="1">
      <alignment vertical="center"/>
    </xf>
    <xf numFmtId="176" fontId="1" fillId="0" borderId="0" xfId="4" applyNumberFormat="1" applyFont="1" applyFill="1" applyBorder="1" applyAlignment="1">
      <alignment vertical="center"/>
    </xf>
    <xf numFmtId="176" fontId="1" fillId="0" borderId="20" xfId="4" applyNumberFormat="1" applyFont="1" applyFill="1" applyBorder="1" applyAlignment="1">
      <alignment vertical="center"/>
    </xf>
    <xf numFmtId="0" fontId="13" fillId="0" borderId="0" xfId="5" applyFill="1" applyAlignment="1">
      <alignment horizontal="centerContinuous" vertical="center"/>
    </xf>
    <xf numFmtId="0" fontId="13" fillId="0" borderId="0" xfId="5" applyFill="1"/>
    <xf numFmtId="0" fontId="1" fillId="0" borderId="0" xfId="5" applyFont="1" applyFill="1" applyAlignment="1">
      <alignment vertical="center"/>
    </xf>
    <xf numFmtId="0" fontId="1" fillId="0" borderId="0" xfId="5" applyFont="1" applyFill="1" applyAlignment="1">
      <alignment horizontal="right" vertical="center"/>
    </xf>
    <xf numFmtId="0" fontId="1" fillId="0" borderId="62" xfId="5" applyFont="1" applyFill="1" applyBorder="1" applyAlignment="1">
      <alignment horizontal="center" vertical="center"/>
    </xf>
    <xf numFmtId="0" fontId="1" fillId="0" borderId="63" xfId="5" applyFont="1" applyFill="1" applyBorder="1" applyAlignment="1">
      <alignment horizontal="center" vertical="center"/>
    </xf>
    <xf numFmtId="0" fontId="1" fillId="0" borderId="38" xfId="5" applyFont="1" applyFill="1" applyBorder="1" applyAlignment="1">
      <alignment horizontal="center" vertical="center"/>
    </xf>
    <xf numFmtId="0" fontId="13" fillId="0" borderId="0" xfId="5" applyFill="1" applyBorder="1"/>
    <xf numFmtId="176" fontId="1" fillId="0" borderId="22" xfId="5" applyNumberFormat="1" applyFont="1" applyFill="1" applyBorder="1" applyAlignment="1">
      <alignment vertical="center"/>
    </xf>
    <xf numFmtId="0" fontId="13" fillId="0" borderId="0" xfId="5" applyFont="1" applyFill="1"/>
    <xf numFmtId="0" fontId="13" fillId="0" borderId="0" xfId="5" applyFont="1" applyFill="1" applyBorder="1"/>
    <xf numFmtId="0" fontId="1" fillId="0" borderId="0" xfId="5" applyFont="1" applyFill="1"/>
    <xf numFmtId="178" fontId="1" fillId="0" borderId="0" xfId="5" applyNumberFormat="1" applyFont="1" applyFill="1" applyBorder="1" applyAlignment="1">
      <alignment vertical="center"/>
    </xf>
    <xf numFmtId="178" fontId="13" fillId="0" borderId="0" xfId="5" applyNumberFormat="1" applyFill="1"/>
    <xf numFmtId="0" fontId="1" fillId="0" borderId="64" xfId="5" applyFont="1" applyFill="1" applyBorder="1" applyAlignment="1">
      <alignment horizontal="center" vertical="center"/>
    </xf>
    <xf numFmtId="0" fontId="5" fillId="0" borderId="0" xfId="5" applyFont="1" applyFill="1" applyBorder="1" applyAlignment="1">
      <alignment horizontal="center" vertical="center"/>
    </xf>
    <xf numFmtId="3" fontId="22" fillId="0" borderId="0" xfId="0" applyNumberFormat="1" applyFont="1" applyFill="1">
      <alignment vertical="center"/>
    </xf>
    <xf numFmtId="3" fontId="0" fillId="0" borderId="0" xfId="0" applyNumberFormat="1" applyFill="1">
      <alignment vertical="center"/>
    </xf>
    <xf numFmtId="0" fontId="1" fillId="0" borderId="65" xfId="0" applyFont="1" applyFill="1" applyBorder="1" applyAlignment="1">
      <alignment horizontal="center" vertical="center"/>
    </xf>
    <xf numFmtId="183" fontId="0" fillId="0" borderId="0" xfId="0" applyNumberFormat="1" applyFill="1" applyAlignment="1">
      <alignment horizontal="right" vertical="center"/>
    </xf>
    <xf numFmtId="177" fontId="1" fillId="0" borderId="23" xfId="0" applyNumberFormat="1" applyFont="1" applyFill="1" applyBorder="1" applyAlignment="1">
      <alignment horizontal="center" vertical="center"/>
    </xf>
    <xf numFmtId="0" fontId="3" fillId="0" borderId="24" xfId="0" applyFont="1" applyFill="1" applyBorder="1" applyAlignment="1">
      <alignment horizontal="center" vertical="center"/>
    </xf>
    <xf numFmtId="4" fontId="3" fillId="0" borderId="5" xfId="0" applyNumberFormat="1" applyFont="1" applyFill="1" applyBorder="1" applyAlignment="1">
      <alignment vertical="center"/>
    </xf>
    <xf numFmtId="176" fontId="6" fillId="0" borderId="9" xfId="0" applyNumberFormat="1" applyFont="1" applyFill="1" applyBorder="1" applyAlignment="1">
      <alignment vertical="center"/>
    </xf>
    <xf numFmtId="186" fontId="6" fillId="0" borderId="9" xfId="0" applyNumberFormat="1" applyFont="1" applyFill="1" applyBorder="1" applyAlignment="1">
      <alignment horizontal="right" vertical="center"/>
    </xf>
    <xf numFmtId="187" fontId="3" fillId="0" borderId="0" xfId="1" applyNumberFormat="1" applyFont="1" applyFill="1" applyBorder="1" applyAlignment="1" applyProtection="1">
      <alignment horizontal="right" vertical="center"/>
    </xf>
    <xf numFmtId="0" fontId="3" fillId="0" borderId="25" xfId="0" applyFont="1" applyFill="1" applyBorder="1" applyAlignment="1">
      <alignment horizontal="justify" vertical="center" indent="1"/>
    </xf>
    <xf numFmtId="186" fontId="23" fillId="0" borderId="0" xfId="0" applyNumberFormat="1" applyFont="1" applyFill="1" applyBorder="1" applyAlignment="1">
      <alignment horizontal="right" vertical="center"/>
    </xf>
    <xf numFmtId="177" fontId="1" fillId="0" borderId="35" xfId="0" applyNumberFormat="1" applyFont="1" applyFill="1" applyBorder="1" applyAlignment="1">
      <alignment vertical="center"/>
    </xf>
    <xf numFmtId="190" fontId="1" fillId="0" borderId="0" xfId="0" applyNumberFormat="1" applyFont="1" applyFill="1" applyBorder="1" applyAlignment="1">
      <alignment horizontal="right" vertical="center"/>
    </xf>
    <xf numFmtId="186" fontId="1" fillId="0" borderId="35" xfId="0" applyNumberFormat="1" applyFont="1" applyFill="1" applyBorder="1" applyAlignment="1">
      <alignment horizontal="right" vertical="center"/>
    </xf>
    <xf numFmtId="0" fontId="7" fillId="0" borderId="19" xfId="0" applyFont="1" applyFill="1" applyBorder="1" applyAlignment="1">
      <alignment horizontal="center" vertical="center"/>
    </xf>
    <xf numFmtId="186" fontId="23" fillId="0" borderId="20" xfId="0" applyNumberFormat="1" applyFont="1" applyFill="1" applyBorder="1" applyAlignment="1">
      <alignment horizontal="right" vertical="center"/>
    </xf>
    <xf numFmtId="187" fontId="1" fillId="0" borderId="20" xfId="1" applyNumberFormat="1" applyFont="1" applyFill="1" applyBorder="1" applyAlignment="1" applyProtection="1">
      <alignment horizontal="right" vertical="center"/>
    </xf>
    <xf numFmtId="186" fontId="1" fillId="0" borderId="42" xfId="0" applyNumberFormat="1" applyFont="1" applyFill="1" applyBorder="1" applyAlignment="1">
      <alignment horizontal="right" vertical="center"/>
    </xf>
    <xf numFmtId="183" fontId="0" fillId="0" borderId="0" xfId="0" applyNumberFormat="1" applyFill="1" applyAlignment="1">
      <alignment horizontal="right" vertical="center" indent="1"/>
    </xf>
    <xf numFmtId="184" fontId="0" fillId="0" borderId="0" xfId="0" applyNumberFormat="1" applyFill="1" applyAlignment="1">
      <alignment horizontal="right" vertical="center" indent="1"/>
    </xf>
    <xf numFmtId="177" fontId="1" fillId="0" borderId="0" xfId="0" applyNumberFormat="1" applyFont="1" applyFill="1" applyAlignment="1">
      <alignment horizontal="right" vertical="center"/>
    </xf>
    <xf numFmtId="177" fontId="0" fillId="0" borderId="0" xfId="0" applyNumberFormat="1" applyFill="1" applyAlignment="1">
      <alignment vertical="center"/>
    </xf>
    <xf numFmtId="183" fontId="0" fillId="0" borderId="0" xfId="0" applyNumberFormat="1" applyFill="1" applyAlignment="1">
      <alignment horizontal="right" indent="1"/>
    </xf>
    <xf numFmtId="184" fontId="0" fillId="0" borderId="0" xfId="0" applyNumberFormat="1" applyFill="1" applyAlignment="1">
      <alignment horizontal="right" indent="1"/>
    </xf>
    <xf numFmtId="177" fontId="0" fillId="0" borderId="0" xfId="0" applyNumberFormat="1" applyFill="1">
      <alignment vertical="center"/>
    </xf>
    <xf numFmtId="0" fontId="1" fillId="0" borderId="0" xfId="6" applyFont="1" applyAlignment="1">
      <alignment horizontal="left" vertical="center"/>
    </xf>
    <xf numFmtId="0" fontId="1" fillId="0" borderId="0" xfId="6" applyFont="1" applyAlignment="1">
      <alignment horizontal="right" vertical="center"/>
    </xf>
    <xf numFmtId="0" fontId="4" fillId="0" borderId="0" xfId="6" applyFont="1" applyBorder="1" applyAlignment="1">
      <alignment vertical="center"/>
    </xf>
    <xf numFmtId="0" fontId="4" fillId="0" borderId="0" xfId="6" applyFont="1" applyBorder="1" applyAlignment="1">
      <alignment horizontal="center" vertical="center"/>
    </xf>
    <xf numFmtId="191" fontId="4" fillId="0" borderId="0" xfId="6" applyNumberFormat="1" applyFont="1" applyBorder="1" applyAlignment="1">
      <alignment vertical="center"/>
    </xf>
    <xf numFmtId="0" fontId="25" fillId="0" borderId="0" xfId="6" applyFont="1" applyBorder="1"/>
    <xf numFmtId="0" fontId="1" fillId="0" borderId="0" xfId="6" applyFont="1" applyBorder="1" applyAlignment="1">
      <alignment vertical="center"/>
    </xf>
    <xf numFmtId="0" fontId="9" fillId="0" borderId="0" xfId="6" applyFont="1" applyBorder="1" applyAlignment="1">
      <alignment horizontal="center"/>
    </xf>
    <xf numFmtId="199" fontId="1" fillId="0" borderId="0" xfId="6" applyNumberFormat="1" applyFont="1" applyBorder="1" applyAlignment="1">
      <alignment horizontal="right" vertical="center"/>
    </xf>
    <xf numFmtId="0" fontId="8" fillId="0" borderId="0" xfId="6" applyFont="1" applyBorder="1"/>
    <xf numFmtId="38" fontId="8" fillId="0" borderId="0" xfId="3" applyFont="1" applyBorder="1"/>
    <xf numFmtId="207" fontId="1" fillId="0" borderId="0" xfId="6" applyNumberFormat="1" applyFont="1" applyAlignment="1">
      <alignment horizontal="left"/>
    </xf>
    <xf numFmtId="207" fontId="8" fillId="0" borderId="0" xfId="6" applyNumberFormat="1" applyFont="1" applyAlignment="1">
      <alignment horizontal="left"/>
    </xf>
    <xf numFmtId="210" fontId="13" fillId="0" borderId="38" xfId="6" applyNumberFormat="1" applyBorder="1"/>
    <xf numFmtId="0" fontId="23" fillId="0" borderId="66" xfId="5" applyFont="1" applyFill="1" applyBorder="1" applyAlignment="1">
      <alignment horizontal="center" vertical="center"/>
    </xf>
    <xf numFmtId="179" fontId="1" fillId="0" borderId="38" xfId="6" applyNumberFormat="1" applyFont="1" applyBorder="1" applyAlignment="1">
      <alignment horizontal="right" vertical="center"/>
    </xf>
    <xf numFmtId="0" fontId="13" fillId="0" borderId="38" xfId="6" applyFont="1" applyBorder="1" applyAlignment="1">
      <alignment horizontal="center"/>
    </xf>
    <xf numFmtId="179" fontId="1" fillId="0" borderId="0" xfId="6" applyNumberFormat="1" applyFont="1" applyAlignment="1">
      <alignment horizontal="right"/>
    </xf>
    <xf numFmtId="180" fontId="1" fillId="0" borderId="0" xfId="6" applyNumberFormat="1" applyFont="1" applyAlignment="1">
      <alignment horizontal="center"/>
    </xf>
    <xf numFmtId="176" fontId="1" fillId="0" borderId="38" xfId="6" applyNumberFormat="1" applyFont="1" applyBorder="1"/>
    <xf numFmtId="179" fontId="1" fillId="0" borderId="38" xfId="6" applyNumberFormat="1" applyFont="1" applyBorder="1" applyAlignment="1">
      <alignment horizontal="right"/>
    </xf>
    <xf numFmtId="180" fontId="1" fillId="0" borderId="38" xfId="6" applyNumberFormat="1" applyFont="1" applyBorder="1" applyAlignment="1">
      <alignment horizontal="center" vertical="center"/>
    </xf>
    <xf numFmtId="176" fontId="1" fillId="0" borderId="38" xfId="0" applyNumberFormat="1" applyFont="1" applyFill="1" applyBorder="1" applyAlignment="1">
      <alignment vertical="center"/>
    </xf>
    <xf numFmtId="186" fontId="3" fillId="0" borderId="9" xfId="0" applyNumberFormat="1" applyFont="1" applyFill="1" applyBorder="1" applyAlignment="1">
      <alignment vertical="center"/>
    </xf>
    <xf numFmtId="49" fontId="23" fillId="0" borderId="31" xfId="4" applyNumberFormat="1" applyFont="1" applyFill="1" applyBorder="1" applyAlignment="1">
      <alignment horizontal="left" vertical="center"/>
    </xf>
    <xf numFmtId="0" fontId="9" fillId="0" borderId="0" xfId="0" applyFont="1" applyFill="1" applyBorder="1" applyAlignment="1">
      <alignment vertical="center"/>
    </xf>
    <xf numFmtId="179" fontId="3" fillId="0" borderId="2" xfId="4" applyNumberFormat="1" applyFont="1" applyFill="1" applyBorder="1" applyAlignment="1">
      <alignment vertical="center"/>
    </xf>
    <xf numFmtId="179" fontId="3" fillId="0" borderId="9" xfId="4" applyNumberFormat="1" applyFont="1" applyFill="1" applyBorder="1" applyAlignment="1">
      <alignment vertical="center"/>
    </xf>
    <xf numFmtId="0" fontId="1" fillId="0" borderId="22" xfId="0" applyFont="1" applyBorder="1" applyAlignment="1">
      <alignment horizontal="center" vertical="center"/>
    </xf>
    <xf numFmtId="0" fontId="1" fillId="0" borderId="67" xfId="0" applyFont="1" applyBorder="1" applyAlignment="1">
      <alignment horizontal="center" vertical="center"/>
    </xf>
    <xf numFmtId="0" fontId="1" fillId="0" borderId="31" xfId="0" applyFont="1" applyBorder="1" applyAlignment="1">
      <alignment vertical="center"/>
    </xf>
    <xf numFmtId="0" fontId="1" fillId="0" borderId="15" xfId="0" applyFont="1" applyBorder="1" applyAlignment="1">
      <alignment vertical="center"/>
    </xf>
    <xf numFmtId="181" fontId="1" fillId="0" borderId="0" xfId="2" applyNumberFormat="1" applyFont="1" applyFill="1" applyBorder="1" applyAlignment="1">
      <alignment horizontal="right" vertical="center"/>
    </xf>
    <xf numFmtId="179" fontId="1" fillId="0" borderId="35" xfId="5" applyNumberFormat="1" applyFont="1" applyFill="1" applyBorder="1" applyAlignment="1">
      <alignment horizontal="right" vertical="center"/>
    </xf>
    <xf numFmtId="181" fontId="1" fillId="0" borderId="35" xfId="2" applyNumberFormat="1" applyFont="1" applyFill="1" applyBorder="1" applyAlignment="1">
      <alignment horizontal="right" vertical="center"/>
    </xf>
    <xf numFmtId="3" fontId="22" fillId="0" borderId="0" xfId="0" applyNumberFormat="1" applyFont="1" applyFill="1" applyAlignment="1">
      <alignment horizontal="right" vertical="center"/>
    </xf>
    <xf numFmtId="0" fontId="1" fillId="0" borderId="0" xfId="6" applyFont="1" applyAlignment="1">
      <alignment horizontal="center" vertical="center"/>
    </xf>
    <xf numFmtId="0" fontId="1" fillId="0" borderId="0" xfId="6" applyFont="1" applyAlignment="1">
      <alignment horizontal="center"/>
    </xf>
    <xf numFmtId="189" fontId="3" fillId="0" borderId="0" xfId="0" applyNumberFormat="1" applyFont="1" applyFill="1" applyBorder="1" applyAlignment="1">
      <alignment vertical="center"/>
    </xf>
    <xf numFmtId="49" fontId="3" fillId="0" borderId="36" xfId="0" applyNumberFormat="1" applyFont="1" applyBorder="1" applyAlignment="1">
      <alignment horizontal="center" vertical="center"/>
    </xf>
    <xf numFmtId="176" fontId="3" fillId="0" borderId="21" xfId="0" applyNumberFormat="1" applyFont="1" applyBorder="1" applyAlignment="1">
      <alignment horizontal="right" vertical="center"/>
    </xf>
    <xf numFmtId="176" fontId="3" fillId="0" borderId="20" xfId="0" applyNumberFormat="1" applyFont="1" applyFill="1" applyBorder="1" applyAlignment="1">
      <alignment horizontal="right" vertical="center"/>
    </xf>
    <xf numFmtId="201" fontId="3" fillId="0" borderId="20" xfId="0" applyNumberFormat="1" applyFont="1" applyBorder="1" applyAlignment="1">
      <alignment horizontal="right" vertical="center"/>
    </xf>
    <xf numFmtId="189" fontId="3" fillId="0" borderId="20" xfId="0" applyNumberFormat="1" applyFont="1" applyBorder="1" applyAlignment="1">
      <alignment horizontal="right" vertical="center"/>
    </xf>
    <xf numFmtId="185" fontId="3" fillId="0" borderId="42" xfId="0" applyNumberFormat="1" applyFont="1" applyFill="1" applyBorder="1" applyAlignment="1">
      <alignment horizontal="right" vertical="center"/>
    </xf>
    <xf numFmtId="200" fontId="1" fillId="0" borderId="9" xfId="0" applyNumberFormat="1" applyFont="1" applyBorder="1" applyAlignment="1">
      <alignment vertical="center"/>
    </xf>
    <xf numFmtId="200" fontId="1" fillId="0" borderId="0" xfId="0" applyNumberFormat="1" applyFont="1" applyBorder="1" applyAlignment="1">
      <alignment vertical="center"/>
    </xf>
    <xf numFmtId="200" fontId="3" fillId="0" borderId="0" xfId="0" applyNumberFormat="1" applyFont="1" applyBorder="1" applyAlignment="1">
      <alignment vertical="center"/>
    </xf>
    <xf numFmtId="200" fontId="1" fillId="0" borderId="20" xfId="0" applyNumberFormat="1" applyFont="1" applyBorder="1" applyAlignment="1">
      <alignment vertical="center"/>
    </xf>
    <xf numFmtId="176" fontId="1" fillId="0" borderId="0" xfId="0" applyNumberFormat="1" applyFont="1" applyFill="1" applyBorder="1" applyAlignment="1">
      <alignment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176" fontId="1" fillId="0" borderId="5" xfId="0" applyNumberFormat="1" applyFont="1" applyBorder="1" applyAlignment="1">
      <alignment vertical="center"/>
    </xf>
    <xf numFmtId="176" fontId="3" fillId="0" borderId="5" xfId="0" applyNumberFormat="1" applyFont="1" applyBorder="1" applyAlignment="1">
      <alignment vertical="center"/>
    </xf>
    <xf numFmtId="176" fontId="1" fillId="0" borderId="21" xfId="0" applyNumberFormat="1" applyFont="1" applyBorder="1" applyAlignment="1">
      <alignment vertical="center"/>
    </xf>
    <xf numFmtId="176" fontId="3" fillId="0" borderId="0" xfId="0" applyNumberFormat="1" applyFont="1" applyBorder="1" applyAlignment="1">
      <alignment vertical="center"/>
    </xf>
    <xf numFmtId="176" fontId="1" fillId="0" borderId="0" xfId="0" applyNumberFormat="1" applyFont="1" applyBorder="1" applyAlignment="1">
      <alignment vertical="center"/>
    </xf>
    <xf numFmtId="176" fontId="1" fillId="0" borderId="20" xfId="0" applyNumberFormat="1" applyFont="1" applyBorder="1" applyAlignment="1">
      <alignment vertical="center"/>
    </xf>
    <xf numFmtId="206" fontId="1" fillId="0" borderId="35" xfId="0" applyNumberFormat="1" applyFont="1" applyFill="1" applyBorder="1" applyAlignment="1">
      <alignment horizontal="right" vertical="center"/>
    </xf>
    <xf numFmtId="206" fontId="1" fillId="0" borderId="42" xfId="0" applyNumberFormat="1" applyFont="1" applyFill="1" applyBorder="1" applyAlignment="1">
      <alignment horizontal="right" vertical="center"/>
    </xf>
    <xf numFmtId="206" fontId="1" fillId="0" borderId="0" xfId="0" applyNumberFormat="1" applyFont="1" applyFill="1" applyBorder="1" applyAlignment="1">
      <alignment horizontal="right" vertical="center"/>
    </xf>
    <xf numFmtId="206" fontId="1" fillId="0" borderId="20" xfId="0" applyNumberFormat="1" applyFont="1" applyFill="1" applyBorder="1" applyAlignment="1">
      <alignment horizontal="right" vertical="center"/>
    </xf>
    <xf numFmtId="180" fontId="1" fillId="0" borderId="0" xfId="0" applyNumberFormat="1" applyFont="1" applyBorder="1" applyAlignment="1">
      <alignment horizontal="right" vertical="center"/>
    </xf>
    <xf numFmtId="0" fontId="22" fillId="0" borderId="0" xfId="0" applyFont="1" applyBorder="1" applyAlignment="1">
      <alignment vertical="center"/>
    </xf>
    <xf numFmtId="0" fontId="26" fillId="0" borderId="38" xfId="6" applyFont="1" applyBorder="1"/>
    <xf numFmtId="38" fontId="26" fillId="0" borderId="38" xfId="6" applyNumberFormat="1" applyFont="1" applyBorder="1"/>
    <xf numFmtId="0" fontId="1" fillId="0" borderId="16" xfId="0" applyFont="1" applyFill="1" applyBorder="1" applyAlignment="1">
      <alignment horizontal="center" vertical="center"/>
    </xf>
    <xf numFmtId="0" fontId="22" fillId="0" borderId="19" xfId="0" applyFont="1" applyFill="1" applyBorder="1" applyAlignment="1">
      <alignment horizontal="center" vertical="center"/>
    </xf>
    <xf numFmtId="200" fontId="1" fillId="0" borderId="5" xfId="0" applyNumberFormat="1" applyFont="1" applyFill="1" applyBorder="1" applyAlignment="1">
      <alignment vertical="center"/>
    </xf>
    <xf numFmtId="178" fontId="1" fillId="0" borderId="0" xfId="0" applyNumberFormat="1" applyFont="1" applyFill="1" applyAlignment="1">
      <alignment vertical="center"/>
    </xf>
    <xf numFmtId="0" fontId="1" fillId="0" borderId="0" xfId="0" applyFont="1" applyFill="1" applyAlignment="1">
      <alignment horizontal="center" vertical="center"/>
    </xf>
    <xf numFmtId="194" fontId="1" fillId="0" borderId="0" xfId="4" applyNumberFormat="1" applyFont="1" applyFill="1" applyAlignment="1"/>
    <xf numFmtId="0" fontId="1" fillId="0" borderId="0" xfId="4" applyFont="1" applyFill="1" applyAlignment="1"/>
    <xf numFmtId="0" fontId="1" fillId="0" borderId="19" xfId="4" applyFont="1" applyFill="1" applyBorder="1" applyAlignment="1">
      <alignment horizontal="distributed" vertical="center"/>
    </xf>
    <xf numFmtId="0" fontId="1" fillId="0" borderId="0" xfId="4" applyFont="1" applyFill="1">
      <alignment vertical="center"/>
    </xf>
    <xf numFmtId="0" fontId="1" fillId="0" borderId="36" xfId="4" applyFont="1" applyFill="1" applyBorder="1" applyAlignment="1">
      <alignment horizontal="distributed" vertical="center"/>
    </xf>
    <xf numFmtId="0" fontId="1" fillId="0" borderId="0" xfId="4" applyFont="1" applyFill="1" applyAlignment="1">
      <alignment vertical="center"/>
    </xf>
    <xf numFmtId="178" fontId="1" fillId="0" borderId="0" xfId="0" applyNumberFormat="1" applyFont="1" applyFill="1">
      <alignment vertical="center"/>
    </xf>
    <xf numFmtId="0" fontId="22" fillId="0" borderId="0" xfId="0" applyFont="1" applyFill="1" applyAlignment="1">
      <alignment vertical="center"/>
    </xf>
    <xf numFmtId="178" fontId="22" fillId="0" borderId="0" xfId="0" applyNumberFormat="1" applyFont="1" applyFill="1" applyAlignment="1">
      <alignment vertical="center"/>
    </xf>
    <xf numFmtId="0" fontId="22" fillId="0" borderId="0" xfId="0" applyFont="1" applyFill="1">
      <alignment vertical="center"/>
    </xf>
    <xf numFmtId="0" fontId="22" fillId="0" borderId="0" xfId="0" applyFont="1" applyFill="1" applyAlignment="1">
      <alignment horizontal="center" vertical="center"/>
    </xf>
    <xf numFmtId="0" fontId="22" fillId="0" borderId="0" xfId="4" applyFont="1" applyFill="1">
      <alignment vertical="center"/>
    </xf>
    <xf numFmtId="0" fontId="22" fillId="0" borderId="19" xfId="4" applyFont="1" applyFill="1" applyBorder="1">
      <alignment vertical="center"/>
    </xf>
    <xf numFmtId="0" fontId="22" fillId="0" borderId="26" xfId="4" applyFont="1" applyFill="1" applyBorder="1">
      <alignment vertical="center"/>
    </xf>
    <xf numFmtId="0" fontId="22" fillId="0" borderId="0" xfId="0" applyFont="1" applyFill="1" applyAlignment="1">
      <alignment horizontal="left" vertical="center" indent="1"/>
    </xf>
    <xf numFmtId="186" fontId="1" fillId="0" borderId="90" xfId="0" applyNumberFormat="1" applyFont="1" applyFill="1" applyBorder="1" applyAlignment="1">
      <alignment vertical="center"/>
    </xf>
    <xf numFmtId="192" fontId="1" fillId="0" borderId="90" xfId="0" applyNumberFormat="1" applyFont="1" applyFill="1" applyBorder="1" applyAlignment="1">
      <alignment vertical="center"/>
    </xf>
    <xf numFmtId="193" fontId="1" fillId="0" borderId="90" xfId="0" applyNumberFormat="1" applyFont="1" applyFill="1" applyBorder="1" applyAlignment="1">
      <alignment vertical="center"/>
    </xf>
    <xf numFmtId="186" fontId="1" fillId="0" borderId="90" xfId="4" applyNumberFormat="1" applyFont="1" applyFill="1" applyBorder="1" applyAlignment="1">
      <alignment vertical="center"/>
    </xf>
    <xf numFmtId="0" fontId="1" fillId="0" borderId="4" xfId="0" applyFont="1" applyFill="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vertical="center"/>
    </xf>
    <xf numFmtId="0" fontId="1" fillId="0" borderId="39" xfId="0" applyFont="1" applyBorder="1" applyAlignment="1">
      <alignment horizontal="center" vertical="center"/>
    </xf>
    <xf numFmtId="0" fontId="1" fillId="0" borderId="4" xfId="0" applyFont="1" applyBorder="1" applyAlignment="1">
      <alignment horizontal="center" vertical="center"/>
    </xf>
    <xf numFmtId="205" fontId="1" fillId="0" borderId="35" xfId="0" applyNumberFormat="1" applyFont="1" applyBorder="1" applyAlignment="1">
      <alignment horizontal="right" vertical="center"/>
    </xf>
    <xf numFmtId="0" fontId="1" fillId="0" borderId="25" xfId="0" applyFont="1" applyBorder="1" applyAlignment="1">
      <alignment horizontal="distributed" vertical="center"/>
    </xf>
    <xf numFmtId="0" fontId="3" fillId="0" borderId="25" xfId="0" applyFont="1" applyBorder="1" applyAlignment="1">
      <alignment horizontal="distributed" vertical="center"/>
    </xf>
    <xf numFmtId="0" fontId="1" fillId="0" borderId="24" xfId="0" applyFont="1" applyBorder="1" applyAlignment="1">
      <alignment horizontal="distributed" vertical="center"/>
    </xf>
    <xf numFmtId="0" fontId="1" fillId="0" borderId="92" xfId="0" applyFont="1" applyBorder="1" applyAlignment="1">
      <alignment horizontal="center" vertical="center"/>
    </xf>
    <xf numFmtId="0" fontId="1" fillId="0" borderId="2"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0" xfId="0" applyFont="1" applyFill="1" applyBorder="1" applyAlignment="1">
      <alignment horizontal="distributed" vertical="center"/>
    </xf>
    <xf numFmtId="0" fontId="1" fillId="0" borderId="0" xfId="0" applyFont="1" applyFill="1" applyBorder="1" applyAlignment="1">
      <alignment vertical="center"/>
    </xf>
    <xf numFmtId="0" fontId="1" fillId="0" borderId="7" xfId="0" applyFont="1" applyFill="1" applyBorder="1" applyAlignment="1">
      <alignment horizontal="center" vertical="center"/>
    </xf>
    <xf numFmtId="176" fontId="1" fillId="0" borderId="0" xfId="0" applyNumberFormat="1" applyFont="1" applyFill="1" applyBorder="1" applyAlignment="1">
      <alignment vertical="center"/>
    </xf>
    <xf numFmtId="176" fontId="3" fillId="0" borderId="0" xfId="0" applyNumberFormat="1" applyFont="1" applyFill="1" applyBorder="1" applyAlignment="1">
      <alignment vertical="center"/>
    </xf>
    <xf numFmtId="0" fontId="1" fillId="0" borderId="6"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4" xfId="0" applyFont="1" applyFill="1" applyBorder="1" applyAlignment="1">
      <alignment horizontal="center" vertical="center"/>
    </xf>
    <xf numFmtId="0" fontId="3" fillId="0" borderId="0" xfId="4" applyFont="1" applyFill="1" applyBorder="1" applyAlignment="1">
      <alignment horizontal="distributed" vertical="center"/>
    </xf>
    <xf numFmtId="0" fontId="1" fillId="0" borderId="62" xfId="5" applyFont="1" applyFill="1" applyBorder="1" applyAlignment="1">
      <alignment horizontal="center" vertical="center"/>
    </xf>
    <xf numFmtId="0" fontId="1" fillId="0" borderId="63" xfId="5" applyFont="1" applyFill="1" applyBorder="1" applyAlignment="1">
      <alignment horizontal="center" vertical="center"/>
    </xf>
    <xf numFmtId="0" fontId="1" fillId="0" borderId="61" xfId="5" applyFont="1" applyFill="1" applyBorder="1" applyAlignment="1">
      <alignment horizontal="center" vertical="center"/>
    </xf>
    <xf numFmtId="176" fontId="6" fillId="0" borderId="34" xfId="0" applyNumberFormat="1" applyFont="1" applyFill="1" applyBorder="1" applyAlignment="1">
      <alignment vertical="center"/>
    </xf>
    <xf numFmtId="176" fontId="9" fillId="0" borderId="35" xfId="0" applyNumberFormat="1" applyFont="1" applyFill="1" applyBorder="1" applyAlignment="1">
      <alignment vertical="center"/>
    </xf>
    <xf numFmtId="0" fontId="28" fillId="0" borderId="0" xfId="6" applyFont="1"/>
    <xf numFmtId="0" fontId="1" fillId="0" borderId="4" xfId="0" applyFont="1" applyBorder="1" applyAlignment="1">
      <alignment horizontal="center" vertical="center"/>
    </xf>
    <xf numFmtId="0" fontId="1" fillId="0" borderId="1" xfId="0" applyFont="1" applyBorder="1" applyAlignment="1">
      <alignment horizontal="center" vertical="center"/>
    </xf>
    <xf numFmtId="3" fontId="23" fillId="0" borderId="0" xfId="0" applyNumberFormat="1" applyFont="1" applyFill="1">
      <alignment vertical="center"/>
    </xf>
    <xf numFmtId="176" fontId="6" fillId="0" borderId="2" xfId="0" applyNumberFormat="1" applyFont="1" applyFill="1" applyBorder="1">
      <alignment vertical="center"/>
    </xf>
    <xf numFmtId="176" fontId="6" fillId="0" borderId="9" xfId="0" applyNumberFormat="1" applyFont="1" applyFill="1" applyBorder="1">
      <alignment vertical="center"/>
    </xf>
    <xf numFmtId="186" fontId="6" fillId="0" borderId="9" xfId="0" applyNumberFormat="1" applyFont="1" applyFill="1" applyBorder="1">
      <alignment vertical="center"/>
    </xf>
    <xf numFmtId="208" fontId="6" fillId="0" borderId="34" xfId="0" applyNumberFormat="1" applyFont="1" applyFill="1" applyBorder="1">
      <alignment vertical="center"/>
    </xf>
    <xf numFmtId="176" fontId="6" fillId="0" borderId="0" xfId="0" applyNumberFormat="1" applyFont="1" applyFill="1" applyBorder="1">
      <alignment vertical="center"/>
    </xf>
    <xf numFmtId="186" fontId="6" fillId="0" borderId="0" xfId="0" applyNumberFormat="1" applyFont="1" applyFill="1" applyBorder="1">
      <alignment vertical="center"/>
    </xf>
    <xf numFmtId="208" fontId="6" fillId="0" borderId="35" xfId="0" applyNumberFormat="1" applyFont="1" applyFill="1" applyBorder="1">
      <alignment vertical="center"/>
    </xf>
    <xf numFmtId="176" fontId="23" fillId="0" borderId="0" xfId="0" applyNumberFormat="1" applyFont="1" applyFill="1" applyBorder="1">
      <alignment vertical="center"/>
    </xf>
    <xf numFmtId="176" fontId="1" fillId="0" borderId="0" xfId="0" applyNumberFormat="1" applyFont="1" applyFill="1" applyBorder="1">
      <alignment vertical="center"/>
    </xf>
    <xf numFmtId="186" fontId="23" fillId="0" borderId="0" xfId="0" applyNumberFormat="1" applyFont="1" applyFill="1" applyBorder="1">
      <alignment vertical="center"/>
    </xf>
    <xf numFmtId="208" fontId="23" fillId="0" borderId="35" xfId="0" applyNumberFormat="1" applyFont="1" applyFill="1" applyBorder="1">
      <alignment vertical="center"/>
    </xf>
    <xf numFmtId="176" fontId="6" fillId="0" borderId="20" xfId="0" applyNumberFormat="1" applyFont="1" applyFill="1" applyBorder="1">
      <alignment vertical="center"/>
    </xf>
    <xf numFmtId="176" fontId="3" fillId="0" borderId="20" xfId="0" applyNumberFormat="1" applyFont="1" applyFill="1" applyBorder="1">
      <alignment vertical="center"/>
    </xf>
    <xf numFmtId="186" fontId="6" fillId="0" borderId="20" xfId="0" applyNumberFormat="1" applyFont="1" applyFill="1" applyBorder="1">
      <alignment vertical="center"/>
    </xf>
    <xf numFmtId="176" fontId="1" fillId="0" borderId="0"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1" xfId="0" applyFont="1" applyBorder="1" applyAlignment="1">
      <alignment horizontal="center" vertical="center"/>
    </xf>
    <xf numFmtId="176" fontId="3" fillId="0" borderId="0" xfId="0" applyNumberFormat="1" applyFont="1" applyFill="1" applyBorder="1" applyAlignment="1">
      <alignment vertical="center"/>
    </xf>
    <xf numFmtId="179" fontId="1" fillId="0" borderId="0" xfId="5" applyNumberFormat="1" applyFont="1" applyFill="1" applyBorder="1" applyAlignment="1">
      <alignment horizontal="right" vertical="center"/>
    </xf>
    <xf numFmtId="0" fontId="1" fillId="0" borderId="17"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6" xfId="0" applyFont="1" applyFill="1" applyBorder="1" applyAlignment="1">
      <alignment horizontal="center" vertical="center"/>
    </xf>
    <xf numFmtId="0" fontId="3" fillId="0" borderId="13" xfId="0" applyFont="1" applyBorder="1" applyAlignment="1">
      <alignment vertical="center"/>
    </xf>
    <xf numFmtId="0" fontId="1" fillId="0" borderId="37" xfId="0" applyFont="1" applyBorder="1" applyAlignment="1">
      <alignment vertical="center"/>
    </xf>
    <xf numFmtId="0" fontId="1" fillId="0" borderId="94" xfId="0" applyFont="1" applyBorder="1" applyAlignment="1">
      <alignment horizontal="center" vertical="center"/>
    </xf>
    <xf numFmtId="176" fontId="1" fillId="0" borderId="57" xfId="0" applyNumberFormat="1" applyFont="1" applyFill="1" applyBorder="1" applyAlignment="1">
      <alignment vertical="center"/>
    </xf>
    <xf numFmtId="176" fontId="3" fillId="0" borderId="57" xfId="0" applyNumberFormat="1" applyFont="1" applyFill="1" applyBorder="1" applyAlignment="1">
      <alignment vertical="center"/>
    </xf>
    <xf numFmtId="176" fontId="1" fillId="0" borderId="58" xfId="0" applyNumberFormat="1" applyFont="1" applyFill="1" applyBorder="1" applyAlignment="1">
      <alignment vertical="center"/>
    </xf>
    <xf numFmtId="0" fontId="1" fillId="0" borderId="4"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vertical="center"/>
    </xf>
    <xf numFmtId="179" fontId="1" fillId="0" borderId="0" xfId="5" applyNumberFormat="1" applyFont="1" applyFill="1" applyBorder="1" applyAlignment="1">
      <alignment horizontal="right" vertical="center"/>
    </xf>
    <xf numFmtId="0" fontId="1" fillId="0" borderId="17" xfId="0" applyFont="1" applyFill="1" applyBorder="1" applyAlignment="1">
      <alignment horizontal="center" vertical="center"/>
    </xf>
    <xf numFmtId="176" fontId="1" fillId="0" borderId="0" xfId="0" applyNumberFormat="1" applyFont="1" applyFill="1" applyBorder="1" applyAlignment="1">
      <alignment vertical="center"/>
    </xf>
    <xf numFmtId="0" fontId="1" fillId="0" borderId="19" xfId="0" applyNumberFormat="1" applyFont="1" applyFill="1" applyBorder="1" applyAlignment="1">
      <alignment vertical="center"/>
    </xf>
    <xf numFmtId="0" fontId="1" fillId="0" borderId="13" xfId="0" applyNumberFormat="1" applyFont="1" applyFill="1" applyBorder="1" applyAlignment="1">
      <alignment vertical="center"/>
    </xf>
    <xf numFmtId="0" fontId="1" fillId="0" borderId="16"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0" xfId="0" applyFont="1" applyBorder="1" applyAlignment="1">
      <alignment horizontal="right"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25" xfId="0" applyFont="1" applyBorder="1" applyAlignment="1">
      <alignment horizontal="distributed" vertical="center"/>
    </xf>
    <xf numFmtId="0" fontId="1" fillId="0" borderId="35" xfId="0" applyFont="1" applyBorder="1" applyAlignment="1">
      <alignment horizontal="right" vertical="center"/>
    </xf>
    <xf numFmtId="0" fontId="3" fillId="0" borderId="35" xfId="0" applyFont="1" applyBorder="1" applyAlignment="1">
      <alignment horizontal="right" vertical="center"/>
    </xf>
    <xf numFmtId="0" fontId="1" fillId="0" borderId="42" xfId="0" applyFont="1" applyBorder="1" applyAlignment="1">
      <alignment horizontal="right" vertical="center"/>
    </xf>
    <xf numFmtId="0" fontId="1" fillId="0" borderId="102" xfId="0" applyFont="1" applyBorder="1" applyAlignment="1">
      <alignment horizontal="center" vertical="center"/>
    </xf>
    <xf numFmtId="0" fontId="1" fillId="0" borderId="103" xfId="0" applyFont="1" applyFill="1" applyBorder="1" applyAlignment="1">
      <alignment horizontal="right" vertical="center"/>
    </xf>
    <xf numFmtId="0" fontId="1" fillId="0" borderId="90" xfId="0" applyFont="1" applyFill="1" applyBorder="1" applyAlignment="1">
      <alignment horizontal="right" vertical="center"/>
    </xf>
    <xf numFmtId="0" fontId="1" fillId="0" borderId="91" xfId="0" applyFont="1" applyFill="1" applyBorder="1" applyAlignment="1">
      <alignment horizontal="right" vertical="center"/>
    </xf>
    <xf numFmtId="0" fontId="1" fillId="0" borderId="68" xfId="0" applyFont="1" applyBorder="1" applyAlignment="1">
      <alignment vertical="center"/>
    </xf>
    <xf numFmtId="0" fontId="1" fillId="0" borderId="57" xfId="0" applyFont="1" applyBorder="1" applyAlignment="1">
      <alignment vertical="center"/>
    </xf>
    <xf numFmtId="0" fontId="3" fillId="0" borderId="57" xfId="0" applyFont="1" applyBorder="1" applyAlignment="1">
      <alignment vertical="center"/>
    </xf>
    <xf numFmtId="0" fontId="1" fillId="0" borderId="58" xfId="0" applyFont="1" applyBorder="1" applyAlignment="1">
      <alignment vertical="center"/>
    </xf>
    <xf numFmtId="0" fontId="1" fillId="0" borderId="0" xfId="0" applyFont="1" applyFill="1" applyBorder="1" applyAlignment="1">
      <alignment horizontal="right" vertical="center"/>
    </xf>
    <xf numFmtId="0" fontId="1" fillId="0" borderId="4" xfId="0" applyFont="1" applyFill="1" applyBorder="1" applyAlignment="1">
      <alignment horizontal="center" vertical="center"/>
    </xf>
    <xf numFmtId="176" fontId="1" fillId="0" borderId="0" xfId="0" applyNumberFormat="1" applyFont="1" applyFill="1" applyBorder="1" applyAlignment="1">
      <alignment vertical="center"/>
    </xf>
    <xf numFmtId="176" fontId="3" fillId="0" borderId="0" xfId="0" applyNumberFormat="1" applyFont="1" applyFill="1" applyBorder="1" applyAlignment="1">
      <alignment vertical="center"/>
    </xf>
    <xf numFmtId="0" fontId="1" fillId="0" borderId="1" xfId="0" applyFont="1" applyBorder="1" applyAlignment="1">
      <alignment horizontal="center" vertical="center"/>
    </xf>
    <xf numFmtId="176" fontId="1" fillId="0" borderId="20" xfId="0" applyNumberFormat="1" applyFont="1" applyFill="1" applyBorder="1" applyAlignment="1">
      <alignment vertical="center"/>
    </xf>
    <xf numFmtId="0" fontId="1" fillId="0" borderId="0"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right" vertical="center"/>
    </xf>
    <xf numFmtId="205" fontId="1" fillId="0" borderId="0" xfId="0" applyNumberFormat="1" applyFont="1" applyBorder="1" applyAlignment="1">
      <alignment horizontal="right" vertical="center"/>
    </xf>
    <xf numFmtId="205" fontId="1" fillId="0" borderId="35" xfId="0" applyNumberFormat="1" applyFont="1" applyBorder="1" applyAlignment="1">
      <alignment horizontal="right" vertical="center"/>
    </xf>
    <xf numFmtId="0" fontId="1" fillId="0" borderId="25" xfId="0" applyFont="1" applyBorder="1" applyAlignment="1">
      <alignment horizontal="distributed" vertical="center"/>
    </xf>
    <xf numFmtId="0" fontId="1" fillId="0" borderId="24" xfId="0" applyFont="1" applyBorder="1" applyAlignment="1">
      <alignment horizontal="distributed" vertical="center"/>
    </xf>
    <xf numFmtId="0" fontId="3" fillId="0" borderId="25" xfId="0" applyFont="1" applyBorder="1" applyAlignment="1">
      <alignment horizontal="distributed" vertical="center"/>
    </xf>
    <xf numFmtId="203" fontId="3" fillId="0" borderId="0" xfId="0" applyNumberFormat="1" applyFont="1" applyFill="1" applyBorder="1" applyAlignment="1">
      <alignment vertical="center"/>
    </xf>
    <xf numFmtId="0" fontId="3" fillId="0" borderId="90" xfId="0" applyFont="1" applyFill="1" applyBorder="1" applyAlignment="1">
      <alignment horizontal="right" vertical="center"/>
    </xf>
    <xf numFmtId="188" fontId="1" fillId="0" borderId="90" xfId="0" quotePrefix="1" applyNumberFormat="1" applyFont="1" applyFill="1" applyBorder="1" applyAlignment="1">
      <alignment horizontal="right" vertical="center"/>
    </xf>
    <xf numFmtId="176" fontId="1" fillId="0" borderId="0" xfId="0" applyNumberFormat="1" applyFont="1" applyFill="1" applyBorder="1" applyAlignment="1">
      <alignment horizontal="right" vertical="center"/>
    </xf>
    <xf numFmtId="176" fontId="1" fillId="0" borderId="5" xfId="0" applyNumberFormat="1" applyFont="1" applyBorder="1" applyAlignment="1">
      <alignment horizontal="right" vertical="center"/>
    </xf>
    <xf numFmtId="0" fontId="1" fillId="0" borderId="19" xfId="0" applyFont="1" applyBorder="1" applyAlignment="1">
      <alignment horizontal="center" vertical="center"/>
    </xf>
    <xf numFmtId="176" fontId="1" fillId="0" borderId="5" xfId="0" applyNumberFormat="1" applyFont="1" applyBorder="1" applyAlignment="1">
      <alignment vertical="center"/>
    </xf>
    <xf numFmtId="211" fontId="1" fillId="0" borderId="0" xfId="0" applyNumberFormat="1" applyFont="1" applyBorder="1" applyAlignment="1">
      <alignment horizontal="right" vertical="center"/>
    </xf>
    <xf numFmtId="197" fontId="1" fillId="0" borderId="9" xfId="0" applyNumberFormat="1" applyFont="1" applyFill="1" applyBorder="1" applyAlignment="1">
      <alignment vertical="center"/>
    </xf>
    <xf numFmtId="197" fontId="1" fillId="0" borderId="0" xfId="0" applyNumberFormat="1" applyFont="1" applyFill="1" applyBorder="1" applyAlignment="1">
      <alignment vertical="center"/>
    </xf>
    <xf numFmtId="197" fontId="3" fillId="0" borderId="0" xfId="0" applyNumberFormat="1" applyFont="1" applyFill="1" applyBorder="1" applyAlignment="1">
      <alignment vertical="center"/>
    </xf>
    <xf numFmtId="197" fontId="1" fillId="0" borderId="20" xfId="0" applyNumberFormat="1" applyFont="1" applyFill="1" applyBorder="1" applyAlignment="1">
      <alignment vertical="center"/>
    </xf>
    <xf numFmtId="185" fontId="1" fillId="0" borderId="35" xfId="0" applyNumberFormat="1" applyFont="1" applyFill="1" applyBorder="1" applyAlignment="1">
      <alignment horizontal="right" vertical="center"/>
    </xf>
    <xf numFmtId="0" fontId="1" fillId="0" borderId="19" xfId="0" applyFont="1" applyBorder="1" applyAlignment="1">
      <alignment horizontal="center" vertical="center"/>
    </xf>
    <xf numFmtId="205" fontId="1" fillId="0" borderId="0" xfId="0" applyNumberFormat="1" applyFont="1" applyBorder="1" applyAlignment="1">
      <alignment horizontal="right" vertical="center"/>
    </xf>
    <xf numFmtId="205" fontId="1" fillId="0" borderId="35" xfId="0" applyNumberFormat="1" applyFont="1" applyBorder="1" applyAlignment="1">
      <alignment horizontal="right" vertical="center"/>
    </xf>
    <xf numFmtId="176" fontId="1" fillId="0" borderId="0" xfId="0" applyNumberFormat="1" applyFont="1" applyBorder="1" applyAlignment="1">
      <alignment vertical="center"/>
    </xf>
    <xf numFmtId="176" fontId="3" fillId="0" borderId="0" xfId="0" applyNumberFormat="1" applyFont="1" applyBorder="1" applyAlignment="1">
      <alignment vertical="center"/>
    </xf>
    <xf numFmtId="0" fontId="1" fillId="0" borderId="26" xfId="0" applyFont="1" applyBorder="1" applyAlignment="1">
      <alignment horizontal="center" vertical="center"/>
    </xf>
    <xf numFmtId="180" fontId="1" fillId="0" borderId="0" xfId="0" applyNumberFormat="1" applyFont="1" applyBorder="1" applyAlignment="1">
      <alignment horizontal="right" vertical="center"/>
    </xf>
    <xf numFmtId="179" fontId="1" fillId="0" borderId="0" xfId="0" applyNumberFormat="1" applyFont="1" applyBorder="1" applyAlignment="1">
      <alignment horizontal="right" vertical="center"/>
    </xf>
    <xf numFmtId="0" fontId="1" fillId="0" borderId="1" xfId="0" applyFont="1" applyBorder="1" applyAlignment="1">
      <alignment horizontal="center" vertical="center"/>
    </xf>
    <xf numFmtId="0" fontId="1" fillId="0" borderId="60"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205" fontId="1" fillId="0" borderId="0" xfId="0" applyNumberFormat="1" applyFont="1" applyBorder="1" applyAlignment="1">
      <alignment horizontal="right" vertical="center"/>
    </xf>
    <xf numFmtId="205" fontId="1" fillId="0" borderId="35" xfId="0" applyNumberFormat="1" applyFont="1" applyBorder="1" applyAlignment="1">
      <alignment horizontal="right" vertical="center"/>
    </xf>
    <xf numFmtId="176" fontId="3" fillId="0" borderId="0" xfId="0" applyNumberFormat="1" applyFont="1" applyBorder="1" applyAlignment="1">
      <alignment vertical="center"/>
    </xf>
    <xf numFmtId="176" fontId="1" fillId="0" borderId="0" xfId="0" applyNumberFormat="1" applyFont="1" applyBorder="1" applyAlignment="1">
      <alignment vertical="center"/>
    </xf>
    <xf numFmtId="0" fontId="1" fillId="0" borderId="26" xfId="0" applyFont="1" applyBorder="1" applyAlignment="1">
      <alignment horizontal="center" vertical="center"/>
    </xf>
    <xf numFmtId="176" fontId="1" fillId="0" borderId="20" xfId="0" applyNumberFormat="1" applyFont="1" applyBorder="1" applyAlignment="1">
      <alignment vertical="center"/>
    </xf>
    <xf numFmtId="180" fontId="1" fillId="0" borderId="0" xfId="0" applyNumberFormat="1" applyFont="1" applyBorder="1" applyAlignment="1">
      <alignment horizontal="right" vertical="center"/>
    </xf>
    <xf numFmtId="179" fontId="1" fillId="0" borderId="0" xfId="0" applyNumberFormat="1" applyFont="1" applyBorder="1" applyAlignment="1">
      <alignment horizontal="right" vertical="center"/>
    </xf>
    <xf numFmtId="0" fontId="1" fillId="0" borderId="33" xfId="0" applyFont="1" applyBorder="1" applyAlignment="1">
      <alignment horizontal="center" vertical="center"/>
    </xf>
    <xf numFmtId="179" fontId="1" fillId="0" borderId="19" xfId="0" applyNumberFormat="1" applyFont="1" applyBorder="1" applyAlignment="1">
      <alignment horizontal="center" vertical="center"/>
    </xf>
    <xf numFmtId="179" fontId="1" fillId="0" borderId="13" xfId="0" applyNumberFormat="1" applyFont="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Border="1" applyAlignment="1">
      <alignment horizontal="center" vertical="center"/>
    </xf>
    <xf numFmtId="176" fontId="1" fillId="0" borderId="0" xfId="0" applyNumberFormat="1" applyFont="1" applyFill="1"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176" fontId="1" fillId="0" borderId="0" xfId="0" applyNumberFormat="1" applyFont="1" applyBorder="1" applyAlignment="1">
      <alignment vertical="center"/>
    </xf>
    <xf numFmtId="176" fontId="1" fillId="0" borderId="21" xfId="0" applyNumberFormat="1" applyFont="1" applyBorder="1" applyAlignment="1">
      <alignment vertical="center"/>
    </xf>
    <xf numFmtId="176" fontId="1" fillId="0" borderId="20" xfId="0" applyNumberFormat="1" applyFont="1" applyBorder="1" applyAlignment="1">
      <alignment vertical="center"/>
    </xf>
    <xf numFmtId="177" fontId="1" fillId="0" borderId="0" xfId="0" applyNumberFormat="1" applyFont="1" applyBorder="1" applyAlignment="1">
      <alignment vertical="center"/>
    </xf>
    <xf numFmtId="0" fontId="1" fillId="0" borderId="23" xfId="0" applyFont="1" applyBorder="1" applyAlignment="1">
      <alignment vertical="center"/>
    </xf>
    <xf numFmtId="177" fontId="3" fillId="0" borderId="0" xfId="0" applyNumberFormat="1" applyFont="1" applyBorder="1" applyAlignment="1">
      <alignment vertical="center"/>
    </xf>
    <xf numFmtId="0" fontId="1" fillId="0" borderId="28" xfId="0" applyFont="1" applyBorder="1" applyAlignment="1">
      <alignment horizontal="center" vertical="center"/>
    </xf>
    <xf numFmtId="0" fontId="1" fillId="0" borderId="19" xfId="0" applyFont="1" applyBorder="1" applyAlignment="1">
      <alignment horizontal="justify" vertical="center"/>
    </xf>
    <xf numFmtId="206" fontId="1" fillId="0" borderId="35" xfId="0" applyNumberFormat="1" applyFont="1" applyFill="1" applyBorder="1" applyAlignment="1">
      <alignment horizontal="right" vertical="center"/>
    </xf>
    <xf numFmtId="206" fontId="1" fillId="0" borderId="0" xfId="0" applyNumberFormat="1" applyFont="1" applyFill="1" applyBorder="1" applyAlignment="1">
      <alignment horizontal="right" vertical="center"/>
    </xf>
    <xf numFmtId="0" fontId="1" fillId="0" borderId="9" xfId="0" applyFont="1" applyBorder="1" applyAlignment="1">
      <alignment horizontal="center" vertical="center"/>
    </xf>
    <xf numFmtId="206" fontId="1" fillId="0" borderId="0" xfId="0" applyNumberFormat="1" applyFont="1" applyFill="1" applyBorder="1" applyAlignment="1">
      <alignment horizontal="right" vertical="center"/>
    </xf>
    <xf numFmtId="3" fontId="22" fillId="0" borderId="31" xfId="0" applyNumberFormat="1" applyFont="1" applyFill="1" applyBorder="1" applyAlignment="1">
      <alignment horizontal="right" vertical="center"/>
    </xf>
    <xf numFmtId="0" fontId="1" fillId="0" borderId="105" xfId="0" applyFont="1" applyFill="1" applyBorder="1" applyAlignment="1">
      <alignment horizontal="distributed" vertical="center"/>
    </xf>
    <xf numFmtId="41" fontId="1" fillId="0" borderId="0" xfId="0" applyNumberFormat="1" applyFont="1" applyFill="1" applyBorder="1">
      <alignment vertical="center"/>
    </xf>
    <xf numFmtId="41" fontId="23" fillId="0" borderId="0" xfId="0" applyNumberFormat="1" applyFont="1" applyFill="1" applyBorder="1">
      <alignment vertical="center"/>
    </xf>
    <xf numFmtId="0" fontId="1" fillId="0" borderId="19" xfId="0" applyNumberFormat="1" applyFont="1" applyFill="1" applyBorder="1" applyAlignment="1">
      <alignment vertical="center"/>
    </xf>
    <xf numFmtId="0" fontId="1" fillId="0" borderId="13" xfId="0" applyNumberFormat="1" applyFont="1" applyFill="1" applyBorder="1" applyAlignment="1">
      <alignment vertical="center"/>
    </xf>
    <xf numFmtId="41" fontId="1" fillId="0" borderId="0" xfId="4" applyNumberFormat="1" applyFont="1" applyFill="1" applyBorder="1" applyAlignment="1">
      <alignment vertical="center"/>
    </xf>
    <xf numFmtId="0" fontId="1" fillId="0" borderId="19" xfId="0" applyNumberFormat="1" applyFont="1" applyFill="1" applyBorder="1" applyAlignment="1">
      <alignment horizontal="center" vertical="center"/>
    </xf>
    <xf numFmtId="0" fontId="1" fillId="0" borderId="13" xfId="0" applyNumberFormat="1" applyFont="1" applyFill="1" applyBorder="1" applyAlignment="1">
      <alignment horizontal="center" vertical="center"/>
    </xf>
    <xf numFmtId="49" fontId="4" fillId="0" borderId="19" xfId="4" applyNumberFormat="1" applyFont="1" applyFill="1" applyBorder="1" applyAlignment="1">
      <alignment vertical="center"/>
    </xf>
    <xf numFmtId="49" fontId="4" fillId="0" borderId="13" xfId="4" applyNumberFormat="1" applyFont="1" applyFill="1" applyBorder="1" applyAlignment="1">
      <alignment vertical="center"/>
    </xf>
    <xf numFmtId="0" fontId="1" fillId="0" borderId="1" xfId="0" applyFont="1" applyFill="1" applyBorder="1" applyAlignment="1">
      <alignment horizontal="center" vertical="center"/>
    </xf>
    <xf numFmtId="0" fontId="1" fillId="0" borderId="0" xfId="0" applyFont="1" applyFill="1" applyBorder="1" applyAlignment="1">
      <alignment vertical="center"/>
    </xf>
    <xf numFmtId="176" fontId="1" fillId="0" borderId="0" xfId="0" applyNumberFormat="1" applyFont="1" applyFill="1" applyBorder="1" applyAlignment="1">
      <alignment vertical="center"/>
    </xf>
    <xf numFmtId="176" fontId="3" fillId="0" borderId="0"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06" xfId="0" applyFont="1" applyFill="1" applyBorder="1" applyAlignment="1">
      <alignment horizontal="center" vertical="center"/>
    </xf>
    <xf numFmtId="177" fontId="1" fillId="0" borderId="0" xfId="0" applyNumberFormat="1" applyFont="1" applyBorder="1" applyAlignment="1">
      <alignment vertical="center"/>
    </xf>
    <xf numFmtId="177" fontId="1" fillId="0" borderId="20" xfId="0" applyNumberFormat="1" applyFont="1" applyBorder="1" applyAlignment="1">
      <alignment vertical="center"/>
    </xf>
    <xf numFmtId="0" fontId="6" fillId="0" borderId="93" xfId="5" applyFont="1" applyFill="1" applyBorder="1" applyAlignment="1">
      <alignment horizontal="center" vertical="center"/>
    </xf>
    <xf numFmtId="181" fontId="1" fillId="0" borderId="107" xfId="2" applyNumberFormat="1" applyFont="1" applyFill="1" applyBorder="1" applyAlignment="1">
      <alignment horizontal="right" vertical="center"/>
    </xf>
    <xf numFmtId="0" fontId="3" fillId="0" borderId="93" xfId="5" applyFont="1" applyFill="1" applyBorder="1" applyAlignment="1">
      <alignment horizontal="center" vertical="center"/>
    </xf>
    <xf numFmtId="176" fontId="3" fillId="0" borderId="20" xfId="2" applyNumberFormat="1" applyFont="1" applyFill="1" applyBorder="1" applyAlignment="1">
      <alignment vertical="center"/>
    </xf>
    <xf numFmtId="177" fontId="1" fillId="0" borderId="20" xfId="5" applyNumberFormat="1" applyFont="1" applyFill="1" applyBorder="1" applyAlignment="1">
      <alignment vertical="center"/>
    </xf>
    <xf numFmtId="181" fontId="3" fillId="0" borderId="20" xfId="2" applyNumberFormat="1" applyFont="1" applyFill="1" applyBorder="1" applyAlignment="1">
      <alignment vertical="center"/>
    </xf>
    <xf numFmtId="179" fontId="3" fillId="0" borderId="20" xfId="5" applyNumberFormat="1" applyFont="1" applyFill="1" applyBorder="1" applyAlignment="1">
      <alignment vertical="center"/>
    </xf>
    <xf numFmtId="181" fontId="3" fillId="0" borderId="20" xfId="2" applyNumberFormat="1" applyFont="1" applyFill="1" applyBorder="1" applyAlignment="1">
      <alignment horizontal="right" vertical="center"/>
    </xf>
    <xf numFmtId="181" fontId="3" fillId="0" borderId="42" xfId="2" applyNumberFormat="1" applyFont="1" applyFill="1" applyBorder="1" applyAlignment="1">
      <alignment horizontal="right" vertical="center"/>
    </xf>
    <xf numFmtId="176" fontId="3" fillId="0" borderId="5" xfId="0" applyNumberFormat="1" applyFont="1" applyFill="1" applyBorder="1" applyAlignment="1">
      <alignment vertical="center"/>
    </xf>
    <xf numFmtId="0" fontId="1" fillId="0" borderId="13" xfId="0" applyFont="1" applyFill="1" applyBorder="1" applyAlignment="1">
      <alignment vertical="center"/>
    </xf>
    <xf numFmtId="176" fontId="1" fillId="0" borderId="13" xfId="0" applyNumberFormat="1" applyFont="1" applyFill="1" applyBorder="1" applyAlignment="1">
      <alignment vertical="center"/>
    </xf>
    <xf numFmtId="176" fontId="1" fillId="0" borderId="35" xfId="0" applyNumberFormat="1" applyFont="1" applyFill="1" applyBorder="1" applyAlignment="1">
      <alignment vertical="center"/>
    </xf>
    <xf numFmtId="176" fontId="3" fillId="0" borderId="13" xfId="0" applyNumberFormat="1" applyFont="1" applyFill="1" applyBorder="1" applyAlignment="1">
      <alignment vertical="center"/>
    </xf>
    <xf numFmtId="176" fontId="3" fillId="0" borderId="35" xfId="0" applyNumberFormat="1" applyFont="1" applyFill="1" applyBorder="1" applyAlignment="1">
      <alignment vertical="center"/>
    </xf>
    <xf numFmtId="198" fontId="1" fillId="0" borderId="0" xfId="0" applyNumberFormat="1" applyFont="1" applyFill="1" applyBorder="1" applyAlignment="1">
      <alignment vertical="center"/>
    </xf>
    <xf numFmtId="179" fontId="3" fillId="0" borderId="0" xfId="0" applyNumberFormat="1" applyFont="1" applyFill="1" applyBorder="1" applyAlignment="1">
      <alignment horizontal="right" vertical="center"/>
    </xf>
    <xf numFmtId="178" fontId="1" fillId="0" borderId="5" xfId="0" applyNumberFormat="1" applyFont="1" applyFill="1" applyBorder="1" applyAlignment="1">
      <alignment vertical="center"/>
    </xf>
    <xf numFmtId="178" fontId="1" fillId="0" borderId="0" xfId="0" applyNumberFormat="1" applyFont="1" applyFill="1" applyBorder="1" applyAlignment="1">
      <alignment vertical="center"/>
    </xf>
    <xf numFmtId="178" fontId="1" fillId="0" borderId="35" xfId="0" applyNumberFormat="1" applyFont="1" applyFill="1" applyBorder="1" applyAlignment="1">
      <alignment vertical="center"/>
    </xf>
    <xf numFmtId="182" fontId="1" fillId="0" borderId="5" xfId="0" applyNumberFormat="1" applyFont="1" applyFill="1" applyBorder="1" applyAlignment="1">
      <alignment vertical="center"/>
    </xf>
    <xf numFmtId="182" fontId="1" fillId="0" borderId="0" xfId="0" applyNumberFormat="1" applyFont="1" applyFill="1" applyBorder="1" applyAlignment="1">
      <alignment vertical="center"/>
    </xf>
    <xf numFmtId="182" fontId="1" fillId="0" borderId="35" xfId="0" applyNumberFormat="1" applyFont="1" applyFill="1" applyBorder="1" applyAlignment="1">
      <alignment vertical="center"/>
    </xf>
    <xf numFmtId="194" fontId="3" fillId="0" borderId="5" xfId="0" applyNumberFormat="1" applyFont="1" applyFill="1" applyBorder="1" applyAlignment="1">
      <alignment vertical="center"/>
    </xf>
    <xf numFmtId="194" fontId="3" fillId="0" borderId="0" xfId="0" applyNumberFormat="1" applyFont="1" applyFill="1" applyBorder="1" applyAlignment="1">
      <alignment vertical="center"/>
    </xf>
    <xf numFmtId="194" fontId="3" fillId="0" borderId="35" xfId="0" applyNumberFormat="1" applyFont="1" applyFill="1" applyBorder="1" applyAlignment="1">
      <alignment vertical="center"/>
    </xf>
    <xf numFmtId="176" fontId="1" fillId="0" borderId="21" xfId="0" applyNumberFormat="1" applyFont="1" applyFill="1" applyBorder="1" applyAlignment="1">
      <alignment vertical="center"/>
    </xf>
    <xf numFmtId="176" fontId="1" fillId="0" borderId="37" xfId="0" applyNumberFormat="1" applyFont="1" applyFill="1" applyBorder="1" applyAlignment="1">
      <alignment vertical="center"/>
    </xf>
    <xf numFmtId="0" fontId="1" fillId="0" borderId="20" xfId="0" applyFont="1" applyFill="1" applyBorder="1" applyAlignment="1">
      <alignment vertical="center"/>
    </xf>
    <xf numFmtId="0" fontId="1" fillId="0" borderId="37" xfId="0" applyFont="1" applyFill="1" applyBorder="1" applyAlignment="1">
      <alignment vertical="center"/>
    </xf>
    <xf numFmtId="0" fontId="1" fillId="0" borderId="42" xfId="0" applyFont="1" applyFill="1" applyBorder="1" applyAlignment="1">
      <alignment vertical="center"/>
    </xf>
    <xf numFmtId="176" fontId="3" fillId="0" borderId="9" xfId="0" applyNumberFormat="1" applyFont="1" applyFill="1" applyBorder="1">
      <alignment vertical="center"/>
    </xf>
    <xf numFmtId="176" fontId="3" fillId="0" borderId="0" xfId="0" applyNumberFormat="1" applyFont="1" applyFill="1" applyBorder="1">
      <alignment vertical="center"/>
    </xf>
    <xf numFmtId="41" fontId="1" fillId="0" borderId="107" xfId="0" applyNumberFormat="1" applyFont="1" applyBorder="1" applyAlignment="1">
      <alignment horizontal="right" vertical="center" shrinkToFit="1"/>
    </xf>
    <xf numFmtId="0" fontId="1" fillId="0" borderId="108" xfId="0" applyFont="1" applyBorder="1" applyAlignment="1">
      <alignment horizontal="distributed" vertical="center"/>
    </xf>
    <xf numFmtId="0" fontId="1" fillId="0" borderId="66" xfId="0" applyFont="1" applyBorder="1" applyAlignment="1">
      <alignment horizontal="distributed" vertical="center"/>
    </xf>
    <xf numFmtId="0" fontId="1" fillId="0" borderId="66" xfId="0" applyFont="1" applyBorder="1" applyAlignment="1">
      <alignment horizontal="justify" vertical="center"/>
    </xf>
    <xf numFmtId="0" fontId="1" fillId="0" borderId="66" xfId="0" applyFont="1" applyFill="1" applyBorder="1" applyAlignment="1">
      <alignment vertical="center" shrinkToFit="1"/>
    </xf>
    <xf numFmtId="0" fontId="1" fillId="0" borderId="93" xfId="0" applyFont="1" applyFill="1" applyBorder="1" applyAlignment="1">
      <alignment vertical="center" wrapText="1"/>
    </xf>
    <xf numFmtId="0" fontId="1" fillId="0" borderId="103" xfId="0" applyFont="1" applyBorder="1" applyAlignment="1">
      <alignment horizontal="right" vertical="center"/>
    </xf>
    <xf numFmtId="0" fontId="1" fillId="0" borderId="90" xfId="0" applyFont="1" applyBorder="1" applyAlignment="1">
      <alignment horizontal="right" vertical="center"/>
    </xf>
    <xf numFmtId="190" fontId="1" fillId="0" borderId="90" xfId="0" applyNumberFormat="1" applyFont="1" applyBorder="1" applyAlignment="1">
      <alignment horizontal="right" vertical="center"/>
    </xf>
    <xf numFmtId="0" fontId="3" fillId="0" borderId="90" xfId="0" applyFont="1" applyBorder="1" applyAlignment="1">
      <alignment horizontal="right" vertical="center"/>
    </xf>
    <xf numFmtId="0" fontId="1" fillId="0" borderId="91" xfId="0" applyFont="1" applyBorder="1" applyAlignment="1">
      <alignment horizontal="right" vertical="center"/>
    </xf>
    <xf numFmtId="0" fontId="0" fillId="0" borderId="0" xfId="0">
      <alignment vertical="center"/>
    </xf>
    <xf numFmtId="176" fontId="13" fillId="0" borderId="0" xfId="6" applyNumberFormat="1"/>
    <xf numFmtId="194" fontId="1" fillId="0" borderId="38" xfId="6" applyNumberFormat="1" applyFont="1" applyBorder="1" applyAlignment="1">
      <alignment vertical="center"/>
    </xf>
    <xf numFmtId="194" fontId="1" fillId="0" borderId="38" xfId="6" applyNumberFormat="1" applyFont="1" applyFill="1" applyBorder="1" applyAlignment="1">
      <alignment vertical="center"/>
    </xf>
    <xf numFmtId="3" fontId="0" fillId="0" borderId="0" xfId="0" applyNumberFormat="1">
      <alignment vertical="center"/>
    </xf>
    <xf numFmtId="176" fontId="29" fillId="0" borderId="35" xfId="4" applyNumberFormat="1" applyFont="1" applyFill="1" applyBorder="1" applyAlignment="1">
      <alignment vertical="center"/>
    </xf>
    <xf numFmtId="41" fontId="29" fillId="0" borderId="35" xfId="4" applyNumberFormat="1" applyFont="1" applyFill="1" applyBorder="1" applyAlignment="1">
      <alignment vertical="center"/>
    </xf>
    <xf numFmtId="176" fontId="29" fillId="0" borderId="42" xfId="4" applyNumberFormat="1" applyFont="1" applyFill="1" applyBorder="1" applyAlignment="1">
      <alignment vertical="center"/>
    </xf>
    <xf numFmtId="186" fontId="30" fillId="0" borderId="0" xfId="4" applyNumberFormat="1" applyFont="1" applyFill="1" applyBorder="1" applyAlignment="1">
      <alignment vertical="center"/>
    </xf>
    <xf numFmtId="186" fontId="30" fillId="0" borderId="90" xfId="4" applyNumberFormat="1" applyFont="1" applyFill="1" applyBorder="1" applyAlignment="1">
      <alignment vertical="center"/>
    </xf>
    <xf numFmtId="186" fontId="30" fillId="0" borderId="5" xfId="4" applyNumberFormat="1" applyFont="1" applyFill="1" applyBorder="1" applyAlignment="1">
      <alignment vertical="center"/>
    </xf>
    <xf numFmtId="186" fontId="29" fillId="0" borderId="0" xfId="4" applyNumberFormat="1" applyFont="1" applyFill="1" applyBorder="1" applyAlignment="1">
      <alignment vertical="center"/>
    </xf>
    <xf numFmtId="186" fontId="29" fillId="0" borderId="90" xfId="4" applyNumberFormat="1" applyFont="1" applyFill="1" applyBorder="1" applyAlignment="1">
      <alignment vertical="center"/>
    </xf>
    <xf numFmtId="186" fontId="29" fillId="0" borderId="20" xfId="4" applyNumberFormat="1" applyFont="1" applyFill="1" applyBorder="1" applyAlignment="1">
      <alignment vertical="center"/>
    </xf>
    <xf numFmtId="186" fontId="29" fillId="0" borderId="91" xfId="4" applyNumberFormat="1" applyFont="1" applyFill="1" applyBorder="1" applyAlignment="1">
      <alignment vertical="center"/>
    </xf>
    <xf numFmtId="179" fontId="29" fillId="0" borderId="5" xfId="4" applyNumberFormat="1" applyFont="1" applyFill="1" applyBorder="1" applyAlignment="1">
      <alignment vertical="center"/>
    </xf>
    <xf numFmtId="178" fontId="29" fillId="0" borderId="0" xfId="4" applyNumberFormat="1" applyFont="1" applyFill="1" applyBorder="1" applyAlignment="1">
      <alignment vertical="center"/>
    </xf>
    <xf numFmtId="179" fontId="29" fillId="0" borderId="0" xfId="4" applyNumberFormat="1" applyFont="1" applyFill="1" applyBorder="1" applyAlignment="1">
      <alignment vertical="center"/>
    </xf>
    <xf numFmtId="179" fontId="29" fillId="0" borderId="21" xfId="4" applyNumberFormat="1" applyFont="1" applyFill="1" applyBorder="1" applyAlignment="1">
      <alignment vertical="center"/>
    </xf>
    <xf numFmtId="178" fontId="29" fillId="0" borderId="20" xfId="4" applyNumberFormat="1" applyFont="1" applyFill="1" applyBorder="1" applyAlignment="1">
      <alignment vertical="center"/>
    </xf>
    <xf numFmtId="179" fontId="29" fillId="0" borderId="20" xfId="4" applyNumberFormat="1" applyFont="1" applyFill="1" applyBorder="1" applyAlignment="1">
      <alignment vertical="center"/>
    </xf>
    <xf numFmtId="179" fontId="29" fillId="0" borderId="2" xfId="4" applyNumberFormat="1" applyFont="1" applyFill="1" applyBorder="1" applyAlignment="1">
      <alignment vertical="center"/>
    </xf>
    <xf numFmtId="178" fontId="29" fillId="0" borderId="9" xfId="4" applyNumberFormat="1" applyFont="1" applyFill="1" applyBorder="1" applyAlignment="1">
      <alignment vertical="center"/>
    </xf>
    <xf numFmtId="179" fontId="29" fillId="0" borderId="9" xfId="4" applyNumberFormat="1" applyFont="1" applyFill="1" applyBorder="1" applyAlignment="1">
      <alignment vertical="center"/>
    </xf>
    <xf numFmtId="0" fontId="1" fillId="0" borderId="67" xfId="0" applyFont="1" applyBorder="1" applyAlignment="1">
      <alignment vertical="center"/>
    </xf>
    <xf numFmtId="190" fontId="1" fillId="0" borderId="109" xfId="0" applyNumberFormat="1" applyFont="1" applyBorder="1" applyAlignment="1">
      <alignment vertical="center" shrinkToFit="1"/>
    </xf>
    <xf numFmtId="190" fontId="1" fillId="0" borderId="22" xfId="0" applyNumberFormat="1" applyFont="1" applyBorder="1" applyAlignment="1">
      <alignment vertical="center"/>
    </xf>
    <xf numFmtId="190" fontId="3" fillId="0" borderId="22" xfId="0" applyNumberFormat="1" applyFont="1" applyBorder="1" applyAlignment="1">
      <alignment vertical="center"/>
    </xf>
    <xf numFmtId="190" fontId="1" fillId="0" borderId="22" xfId="0" applyNumberFormat="1" applyFont="1" applyBorder="1" applyAlignment="1">
      <alignment horizontal="right" vertical="center"/>
    </xf>
    <xf numFmtId="190" fontId="1" fillId="0" borderId="110" xfId="0" applyNumberFormat="1" applyFont="1" applyBorder="1" applyAlignment="1">
      <alignment vertical="center"/>
    </xf>
    <xf numFmtId="0" fontId="1" fillId="0" borderId="0" xfId="0" applyFont="1" applyFill="1" applyAlignment="1">
      <alignment horizontal="right"/>
    </xf>
    <xf numFmtId="0" fontId="1" fillId="0" borderId="10" xfId="0" applyFont="1" applyBorder="1" applyAlignment="1">
      <alignment horizontal="center" vertical="center"/>
    </xf>
    <xf numFmtId="0" fontId="1" fillId="0" borderId="0" xfId="0" applyFont="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3" xfId="0" applyFont="1" applyBorder="1" applyAlignment="1">
      <alignment horizontal="center" vertical="center"/>
    </xf>
    <xf numFmtId="176" fontId="1" fillId="0" borderId="0" xfId="0" applyNumberFormat="1" applyFont="1" applyBorder="1" applyAlignment="1">
      <alignment vertical="center"/>
    </xf>
    <xf numFmtId="177" fontId="3" fillId="0" borderId="0" xfId="0" applyNumberFormat="1" applyFont="1" applyBorder="1" applyAlignment="1">
      <alignment vertical="center"/>
    </xf>
    <xf numFmtId="177" fontId="1" fillId="0" borderId="0" xfId="0" applyNumberFormat="1" applyFont="1" applyBorder="1" applyAlignment="1">
      <alignment vertical="center"/>
    </xf>
    <xf numFmtId="0" fontId="1" fillId="0" borderId="23" xfId="0" applyFont="1" applyBorder="1" applyAlignment="1">
      <alignment vertical="center"/>
    </xf>
    <xf numFmtId="177" fontId="1" fillId="0" borderId="20" xfId="0" applyNumberFormat="1" applyFont="1" applyBorder="1" applyAlignment="1">
      <alignment vertical="center"/>
    </xf>
    <xf numFmtId="176" fontId="1" fillId="0" borderId="20" xfId="0" applyNumberFormat="1" applyFont="1" applyBorder="1" applyAlignment="1">
      <alignment vertical="center"/>
    </xf>
    <xf numFmtId="0" fontId="1" fillId="0" borderId="74" xfId="5" applyFont="1" applyFill="1" applyBorder="1" applyAlignment="1">
      <alignment horizontal="center" vertical="center"/>
    </xf>
    <xf numFmtId="0" fontId="1" fillId="0" borderId="75" xfId="5" applyFont="1" applyFill="1" applyBorder="1" applyAlignment="1">
      <alignment horizontal="center" vertical="center"/>
    </xf>
    <xf numFmtId="0" fontId="1" fillId="0" borderId="62" xfId="5" applyFont="1" applyFill="1" applyBorder="1" applyAlignment="1">
      <alignment horizontal="center" vertical="center"/>
    </xf>
    <xf numFmtId="0" fontId="1" fillId="0" borderId="63" xfId="5" applyFont="1" applyFill="1" applyBorder="1" applyAlignment="1">
      <alignment horizontal="center" vertical="center"/>
    </xf>
    <xf numFmtId="0" fontId="1" fillId="0" borderId="83" xfId="5" applyFont="1" applyFill="1" applyBorder="1" applyAlignment="1">
      <alignment horizontal="center" vertical="center"/>
    </xf>
    <xf numFmtId="0" fontId="1" fillId="0" borderId="71" xfId="5" applyFont="1" applyFill="1" applyBorder="1" applyAlignment="1">
      <alignment horizontal="center" vertical="center"/>
    </xf>
    <xf numFmtId="0" fontId="1" fillId="0" borderId="72" xfId="5" applyFont="1" applyFill="1" applyBorder="1" applyAlignment="1">
      <alignment horizontal="center" vertical="center"/>
    </xf>
    <xf numFmtId="178" fontId="1" fillId="0" borderId="95" xfId="5" applyNumberFormat="1" applyFont="1" applyFill="1" applyBorder="1" applyAlignment="1">
      <alignment horizontal="right" vertical="center"/>
    </xf>
    <xf numFmtId="178" fontId="1" fillId="0" borderId="96" xfId="5" applyNumberFormat="1" applyFont="1" applyFill="1" applyBorder="1" applyAlignment="1">
      <alignment horizontal="right" vertical="center"/>
    </xf>
    <xf numFmtId="176" fontId="1" fillId="0" borderId="95" xfId="5" applyNumberFormat="1" applyFont="1" applyFill="1" applyBorder="1" applyAlignment="1">
      <alignment horizontal="right" vertical="center"/>
    </xf>
    <xf numFmtId="176" fontId="1" fillId="0" borderId="0" xfId="5" applyNumberFormat="1" applyFont="1" applyFill="1" applyBorder="1" applyAlignment="1">
      <alignment horizontal="right" vertical="center"/>
    </xf>
    <xf numFmtId="178" fontId="1" fillId="0" borderId="0" xfId="5" applyNumberFormat="1" applyFont="1" applyFill="1" applyBorder="1" applyAlignment="1">
      <alignment horizontal="right" vertical="center"/>
    </xf>
    <xf numFmtId="178" fontId="1" fillId="0" borderId="35" xfId="5" applyNumberFormat="1" applyFont="1" applyFill="1" applyBorder="1" applyAlignment="1">
      <alignment horizontal="right" vertical="center"/>
    </xf>
    <xf numFmtId="0" fontId="1" fillId="0" borderId="84" xfId="5" applyFont="1" applyFill="1" applyBorder="1" applyAlignment="1">
      <alignment horizontal="center" vertical="center"/>
    </xf>
    <xf numFmtId="0" fontId="1" fillId="0" borderId="61" xfId="5" applyFont="1" applyFill="1" applyBorder="1" applyAlignment="1">
      <alignment horizontal="center" vertical="center"/>
    </xf>
    <xf numFmtId="0" fontId="1" fillId="0" borderId="73" xfId="5" applyFont="1" applyFill="1" applyBorder="1" applyAlignment="1">
      <alignment horizontal="center" vertical="center"/>
    </xf>
    <xf numFmtId="0" fontId="1" fillId="0" borderId="82" xfId="5" applyFont="1" applyFill="1" applyBorder="1" applyAlignment="1">
      <alignment horizontal="center" vertical="center"/>
    </xf>
    <xf numFmtId="179" fontId="1" fillId="0" borderId="0" xfId="5" applyNumberFormat="1" applyFont="1" applyFill="1" applyBorder="1" applyAlignment="1">
      <alignment horizontal="right" vertical="center"/>
    </xf>
    <xf numFmtId="176" fontId="1" fillId="0" borderId="0" xfId="5" applyNumberFormat="1" applyFont="1" applyFill="1" applyBorder="1" applyAlignment="1">
      <alignment horizontal="right"/>
    </xf>
    <xf numFmtId="179" fontId="1" fillId="0" borderId="20" xfId="5" applyNumberFormat="1" applyFont="1" applyFill="1" applyBorder="1" applyAlignment="1">
      <alignment horizontal="right" vertical="center"/>
    </xf>
    <xf numFmtId="178" fontId="1" fillId="0" borderId="20" xfId="5" applyNumberFormat="1" applyFont="1" applyFill="1" applyBorder="1" applyAlignment="1">
      <alignment horizontal="right" vertical="center"/>
    </xf>
    <xf numFmtId="178" fontId="1" fillId="0" borderId="42" xfId="5" applyNumberFormat="1" applyFont="1" applyFill="1" applyBorder="1" applyAlignment="1">
      <alignment horizontal="right" vertical="center"/>
    </xf>
    <xf numFmtId="0" fontId="1" fillId="0" borderId="66" xfId="5" applyFont="1" applyFill="1" applyBorder="1" applyAlignment="1">
      <alignment horizontal="center" vertical="center"/>
    </xf>
    <xf numFmtId="0" fontId="1" fillId="0" borderId="76" xfId="5" applyFont="1" applyFill="1" applyBorder="1" applyAlignment="1">
      <alignment horizontal="center" vertical="center"/>
    </xf>
    <xf numFmtId="0" fontId="1" fillId="0" borderId="31" xfId="5" applyFont="1" applyFill="1" applyBorder="1" applyAlignment="1">
      <alignment horizontal="center" vertical="center"/>
    </xf>
    <xf numFmtId="0" fontId="1" fillId="0" borderId="77" xfId="5" applyFont="1" applyFill="1" applyBorder="1" applyAlignment="1">
      <alignment horizontal="center" vertical="center"/>
    </xf>
    <xf numFmtId="0" fontId="1" fillId="0" borderId="53" xfId="5" applyFont="1" applyFill="1" applyBorder="1" applyAlignment="1">
      <alignment horizontal="center" vertical="center"/>
    </xf>
    <xf numFmtId="0" fontId="1" fillId="0" borderId="78" xfId="5" applyFont="1" applyFill="1" applyBorder="1" applyAlignment="1">
      <alignment horizontal="center" vertical="center"/>
    </xf>
    <xf numFmtId="0" fontId="1" fillId="0" borderId="79" xfId="5" applyFont="1" applyFill="1" applyBorder="1" applyAlignment="1">
      <alignment horizontal="center" vertical="center"/>
    </xf>
    <xf numFmtId="0" fontId="1" fillId="0" borderId="80" xfId="5" applyFont="1" applyFill="1" applyBorder="1" applyAlignment="1">
      <alignment horizontal="center" vertical="center"/>
    </xf>
    <xf numFmtId="0" fontId="1" fillId="0" borderId="81" xfId="5" applyFont="1" applyFill="1" applyBorder="1" applyAlignment="1">
      <alignment horizontal="center" vertical="center"/>
    </xf>
    <xf numFmtId="179" fontId="1" fillId="0" borderId="20" xfId="5" applyNumberFormat="1" applyFont="1" applyFill="1" applyBorder="1" applyAlignment="1">
      <alignment horizontal="right"/>
    </xf>
    <xf numFmtId="176" fontId="1" fillId="0" borderId="95" xfId="5" applyNumberFormat="1" applyFont="1" applyFill="1" applyBorder="1" applyAlignment="1">
      <alignment horizontal="right"/>
    </xf>
    <xf numFmtId="0" fontId="1" fillId="0" borderId="17"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39" xfId="0" applyFont="1" applyFill="1" applyBorder="1" applyAlignment="1">
      <alignment horizontal="center" vertical="distributed" textRotation="255"/>
    </xf>
    <xf numFmtId="0" fontId="1" fillId="0" borderId="29"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2"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4" xfId="0" applyFont="1" applyFill="1" applyBorder="1" applyAlignment="1">
      <alignment horizontal="center" vertical="center"/>
    </xf>
    <xf numFmtId="0" fontId="1" fillId="0" borderId="24" xfId="0" applyFont="1" applyFill="1" applyBorder="1" applyAlignment="1">
      <alignment horizontal="center" vertical="distributed" textRotation="255"/>
    </xf>
    <xf numFmtId="0" fontId="1" fillId="0" borderId="25" xfId="0" applyFont="1" applyFill="1" applyBorder="1" applyAlignment="1">
      <alignment horizontal="center" vertical="distributed" textRotation="255"/>
    </xf>
    <xf numFmtId="0" fontId="1" fillId="0" borderId="70" xfId="0" applyFont="1" applyFill="1" applyBorder="1" applyAlignment="1">
      <alignment horizontal="center" vertical="distributed" textRotation="255"/>
    </xf>
    <xf numFmtId="0" fontId="1" fillId="0" borderId="0" xfId="0" applyFont="1" applyFill="1" applyBorder="1" applyAlignment="1">
      <alignment horizontal="right" vertical="center"/>
    </xf>
    <xf numFmtId="0" fontId="1" fillId="0" borderId="41"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1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6" xfId="0" applyFont="1" applyFill="1" applyBorder="1" applyAlignment="1">
      <alignment horizontal="center" vertical="center"/>
    </xf>
    <xf numFmtId="0" fontId="1" fillId="0" borderId="4" xfId="0" applyFont="1" applyFill="1" applyBorder="1" applyAlignment="1">
      <alignment horizontal="center" vertical="center"/>
    </xf>
    <xf numFmtId="183" fontId="1" fillId="0" borderId="17" xfId="0" applyNumberFormat="1" applyFont="1" applyFill="1" applyBorder="1" applyAlignment="1">
      <alignment horizontal="center" vertical="center" wrapText="1"/>
    </xf>
    <xf numFmtId="183" fontId="1" fillId="0" borderId="1" xfId="0" applyNumberFormat="1" applyFont="1" applyFill="1" applyBorder="1" applyAlignment="1">
      <alignment horizontal="center" vertical="center" wrapText="1"/>
    </xf>
    <xf numFmtId="184" fontId="1" fillId="0" borderId="17" xfId="0" applyNumberFormat="1" applyFont="1" applyFill="1" applyBorder="1" applyAlignment="1">
      <alignment horizontal="center" vertical="center" wrapText="1"/>
    </xf>
    <xf numFmtId="184" fontId="1" fillId="0" borderId="1" xfId="0" applyNumberFormat="1" applyFont="1" applyFill="1" applyBorder="1" applyAlignment="1">
      <alignment horizontal="center" vertical="center" wrapText="1"/>
    </xf>
    <xf numFmtId="177" fontId="1" fillId="0" borderId="18"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0" fontId="1" fillId="0" borderId="0" xfId="0" applyFont="1" applyFill="1" applyBorder="1" applyAlignment="1">
      <alignment horizontal="distributed" vertical="center"/>
    </xf>
    <xf numFmtId="0" fontId="1" fillId="0" borderId="0" xfId="4" applyFont="1" applyFill="1" applyBorder="1" applyAlignment="1">
      <alignment horizontal="distributed" vertical="center" wrapText="1"/>
    </xf>
    <xf numFmtId="0" fontId="1" fillId="0" borderId="46"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47" xfId="0" applyFont="1" applyFill="1" applyBorder="1" applyAlignment="1">
      <alignment horizontal="center" vertical="center"/>
    </xf>
    <xf numFmtId="0" fontId="3" fillId="0" borderId="33" xfId="0" applyFont="1" applyFill="1" applyBorder="1" applyAlignment="1">
      <alignment horizontal="distributed" vertical="center"/>
    </xf>
    <xf numFmtId="0" fontId="3" fillId="0" borderId="9" xfId="0" applyFont="1" applyFill="1" applyBorder="1" applyAlignment="1">
      <alignment horizontal="distributed" vertical="center"/>
    </xf>
    <xf numFmtId="0" fontId="3" fillId="0" borderId="68" xfId="0" applyFont="1" applyFill="1" applyBorder="1" applyAlignment="1">
      <alignment horizontal="distributed" vertical="center"/>
    </xf>
    <xf numFmtId="0" fontId="1" fillId="0" borderId="0" xfId="0" applyFont="1" applyFill="1" applyBorder="1" applyAlignment="1"/>
    <xf numFmtId="0" fontId="1" fillId="0" borderId="49"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20" xfId="0" applyFont="1" applyFill="1" applyBorder="1" applyAlignment="1">
      <alignment horizontal="distributed" vertical="center"/>
    </xf>
    <xf numFmtId="0" fontId="1" fillId="0" borderId="31" xfId="0" applyFont="1" applyFill="1" applyBorder="1" applyAlignment="1">
      <alignment horizontal="left" vertical="center"/>
    </xf>
    <xf numFmtId="0" fontId="1" fillId="0" borderId="8" xfId="0" applyFont="1" applyFill="1" applyBorder="1" applyAlignment="1">
      <alignment horizontal="center" vertical="center"/>
    </xf>
    <xf numFmtId="0" fontId="1" fillId="0" borderId="19" xfId="0" applyNumberFormat="1" applyFont="1" applyFill="1" applyBorder="1" applyAlignment="1">
      <alignment vertical="center"/>
    </xf>
    <xf numFmtId="0" fontId="1" fillId="0" borderId="13" xfId="0" applyNumberFormat="1" applyFont="1" applyFill="1" applyBorder="1" applyAlignment="1">
      <alignment vertical="center"/>
    </xf>
    <xf numFmtId="1" fontId="1" fillId="0" borderId="33" xfId="0" applyNumberFormat="1" applyFont="1" applyFill="1" applyBorder="1" applyAlignment="1">
      <alignment vertical="center"/>
    </xf>
    <xf numFmtId="1" fontId="1" fillId="0" borderId="11" xfId="0" applyNumberFormat="1" applyFont="1" applyFill="1" applyBorder="1" applyAlignment="1">
      <alignment vertical="center"/>
    </xf>
    <xf numFmtId="186" fontId="1" fillId="0" borderId="2" xfId="0" applyNumberFormat="1" applyFont="1" applyFill="1" applyBorder="1" applyAlignment="1">
      <alignment horizontal="center" vertical="center"/>
    </xf>
    <xf numFmtId="186" fontId="1" fillId="0" borderId="9" xfId="0" applyNumberFormat="1" applyFont="1" applyFill="1" applyBorder="1" applyAlignment="1">
      <alignment horizontal="center" vertical="center"/>
    </xf>
    <xf numFmtId="186" fontId="29" fillId="0" borderId="5" xfId="4" applyNumberFormat="1" applyFont="1" applyFill="1" applyBorder="1" applyAlignment="1">
      <alignment vertical="center"/>
    </xf>
    <xf numFmtId="186" fontId="1" fillId="0" borderId="5" xfId="4" applyNumberFormat="1" applyFont="1" applyFill="1" applyBorder="1" applyAlignment="1">
      <alignment horizontal="right" vertical="center"/>
    </xf>
    <xf numFmtId="0" fontId="0" fillId="0" borderId="0" xfId="0">
      <alignment vertical="center"/>
    </xf>
    <xf numFmtId="186" fontId="30" fillId="0" borderId="5" xfId="4" applyNumberFormat="1" applyFont="1" applyFill="1" applyBorder="1" applyAlignment="1">
      <alignment horizontal="center" vertical="center"/>
    </xf>
    <xf numFmtId="0" fontId="31" fillId="0" borderId="0" xfId="0" applyFont="1" applyFill="1">
      <alignment vertical="center"/>
    </xf>
    <xf numFmtId="49" fontId="23" fillId="0" borderId="19" xfId="4" applyNumberFormat="1" applyFont="1" applyFill="1" applyBorder="1" applyAlignment="1">
      <alignment horizontal="center" vertical="center"/>
    </xf>
    <xf numFmtId="49" fontId="23" fillId="0" borderId="13" xfId="4" applyNumberFormat="1" applyFont="1" applyFill="1" applyBorder="1" applyAlignment="1">
      <alignment horizontal="center" vertical="center"/>
    </xf>
    <xf numFmtId="49" fontId="4" fillId="0" borderId="43" xfId="4" applyNumberFormat="1" applyFont="1" applyFill="1" applyBorder="1" applyAlignment="1">
      <alignment vertical="center"/>
    </xf>
    <xf numFmtId="49" fontId="1" fillId="0" borderId="89" xfId="4" applyNumberFormat="1" applyFont="1" applyFill="1" applyBorder="1" applyAlignment="1">
      <alignment vertical="center"/>
    </xf>
    <xf numFmtId="186" fontId="29" fillId="0" borderId="21" xfId="4" applyNumberFormat="1" applyFont="1" applyFill="1" applyBorder="1" applyAlignment="1">
      <alignment vertical="center"/>
    </xf>
    <xf numFmtId="186" fontId="1" fillId="0" borderId="5" xfId="0" applyNumberFormat="1" applyFont="1" applyFill="1" applyBorder="1" applyAlignment="1">
      <alignment horizontal="center" vertical="center"/>
    </xf>
    <xf numFmtId="186" fontId="1" fillId="0" borderId="0" xfId="0" applyNumberFormat="1" applyFont="1" applyFill="1" applyBorder="1" applyAlignment="1">
      <alignment horizontal="center" vertical="center"/>
    </xf>
    <xf numFmtId="186" fontId="1" fillId="0" borderId="5" xfId="4" applyNumberFormat="1" applyFont="1" applyFill="1" applyBorder="1" applyAlignment="1">
      <alignment horizontal="center" vertical="center"/>
    </xf>
    <xf numFmtId="186" fontId="1" fillId="0" borderId="0" xfId="4" applyNumberFormat="1" applyFont="1" applyFill="1" applyBorder="1" applyAlignment="1">
      <alignment horizontal="center" vertical="center"/>
    </xf>
    <xf numFmtId="49" fontId="1" fillId="0" borderId="19" xfId="4" applyNumberFormat="1" applyFont="1" applyFill="1" applyBorder="1" applyAlignment="1">
      <alignment horizontal="center" vertical="center"/>
    </xf>
    <xf numFmtId="49" fontId="1" fillId="0" borderId="13" xfId="4" applyNumberFormat="1" applyFont="1" applyFill="1" applyBorder="1" applyAlignment="1">
      <alignment horizontal="center" vertical="center"/>
    </xf>
    <xf numFmtId="0" fontId="12" fillId="0" borderId="6" xfId="4" applyFont="1" applyFill="1" applyBorder="1" applyAlignment="1">
      <alignment horizontal="distributed" vertical="center" wrapText="1"/>
    </xf>
    <xf numFmtId="198" fontId="3" fillId="0" borderId="85" xfId="0" applyNumberFormat="1" applyFont="1" applyFill="1" applyBorder="1" applyAlignment="1">
      <alignment horizontal="center" vertical="center"/>
    </xf>
    <xf numFmtId="198" fontId="29" fillId="0" borderId="8" xfId="4" applyNumberFormat="1" applyFont="1" applyFill="1" applyBorder="1" applyAlignment="1">
      <alignment horizontal="center" vertical="center"/>
    </xf>
    <xf numFmtId="198" fontId="29" fillId="0" borderId="6" xfId="4" applyNumberFormat="1" applyFont="1" applyFill="1" applyBorder="1" applyAlignment="1">
      <alignment horizontal="center" vertical="center"/>
    </xf>
    <xf numFmtId="49" fontId="1" fillId="0" borderId="5" xfId="4" applyNumberFormat="1" applyFont="1" applyFill="1" applyBorder="1" applyAlignment="1">
      <alignment horizontal="center" vertical="center"/>
    </xf>
    <xf numFmtId="0" fontId="1" fillId="0" borderId="6" xfId="4" applyFont="1" applyFill="1" applyBorder="1" applyAlignment="1">
      <alignment horizontal="distributed" vertical="center" wrapText="1"/>
    </xf>
    <xf numFmtId="0" fontId="3" fillId="0" borderId="86" xfId="0" applyFont="1" applyFill="1" applyBorder="1" applyAlignment="1">
      <alignment horizontal="center" vertical="center"/>
    </xf>
    <xf numFmtId="0" fontId="3" fillId="0" borderId="85" xfId="0" applyFont="1" applyFill="1" applyBorder="1" applyAlignment="1">
      <alignment horizontal="center" vertical="center"/>
    </xf>
    <xf numFmtId="0" fontId="1" fillId="0" borderId="20" xfId="0" applyFont="1" applyFill="1" applyBorder="1" applyAlignment="1">
      <alignment horizontal="left" vertical="center"/>
    </xf>
    <xf numFmtId="0" fontId="3" fillId="0" borderId="5" xfId="4" applyFont="1" applyFill="1" applyBorder="1" applyAlignment="1">
      <alignment horizontal="distributed" vertical="center"/>
    </xf>
    <xf numFmtId="0" fontId="3" fillId="0" borderId="0" xfId="4" applyFont="1" applyFill="1" applyBorder="1" applyAlignment="1">
      <alignment horizontal="distributed" vertical="center"/>
    </xf>
    <xf numFmtId="0" fontId="3" fillId="0" borderId="33" xfId="4" applyFont="1" applyFill="1" applyBorder="1" applyAlignment="1">
      <alignment horizontal="distributed" vertical="center"/>
    </xf>
    <xf numFmtId="0" fontId="3" fillId="0" borderId="9" xfId="4" applyFont="1" applyFill="1" applyBorder="1" applyAlignment="1">
      <alignment horizontal="distributed" vertical="center"/>
    </xf>
    <xf numFmtId="0" fontId="11" fillId="0" borderId="19" xfId="4" applyFont="1" applyFill="1" applyBorder="1" applyAlignment="1">
      <alignment horizontal="distributed" vertical="center"/>
    </xf>
    <xf numFmtId="0" fontId="11" fillId="0" borderId="0" xfId="4" applyFont="1" applyFill="1" applyBorder="1" applyAlignment="1">
      <alignment horizontal="distributed" vertical="center"/>
    </xf>
    <xf numFmtId="0" fontId="1" fillId="0" borderId="18" xfId="0" applyFont="1" applyFill="1" applyBorder="1" applyAlignment="1">
      <alignment horizontal="center" vertical="center"/>
    </xf>
    <xf numFmtId="49" fontId="1" fillId="0" borderId="2" xfId="4" applyNumberFormat="1" applyFont="1" applyFill="1" applyBorder="1" applyAlignment="1">
      <alignment horizontal="center" vertical="center"/>
    </xf>
    <xf numFmtId="49" fontId="1" fillId="0" borderId="11" xfId="4" applyNumberFormat="1" applyFont="1" applyFill="1" applyBorder="1" applyAlignment="1">
      <alignment horizontal="center" vertical="center"/>
    </xf>
    <xf numFmtId="196" fontId="29" fillId="0" borderId="7" xfId="4" applyNumberFormat="1" applyFont="1" applyFill="1" applyBorder="1" applyAlignment="1">
      <alignment horizontal="center" vertical="center"/>
    </xf>
    <xf numFmtId="0" fontId="1" fillId="0" borderId="7" xfId="4" applyFont="1" applyFill="1" applyBorder="1" applyAlignment="1">
      <alignment horizontal="distributed" vertical="center" wrapText="1"/>
    </xf>
    <xf numFmtId="49" fontId="1" fillId="0" borderId="33" xfId="4" applyNumberFormat="1" applyFont="1" applyFill="1" applyBorder="1" applyAlignment="1">
      <alignment horizontal="center" vertical="center"/>
    </xf>
    <xf numFmtId="0" fontId="1" fillId="0" borderId="20" xfId="0" applyFont="1" applyFill="1" applyBorder="1" applyAlignment="1">
      <alignment horizontal="right"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97" xfId="0" applyFont="1" applyBorder="1" applyAlignment="1">
      <alignment horizontal="center" vertical="center"/>
    </xf>
    <xf numFmtId="0" fontId="1" fillId="0" borderId="98" xfId="0" applyFont="1" applyBorder="1" applyAlignment="1">
      <alignment horizontal="center" vertical="center"/>
    </xf>
    <xf numFmtId="0" fontId="1" fillId="0" borderId="99" xfId="0" applyFont="1" applyBorder="1" applyAlignment="1">
      <alignment horizontal="center" vertical="center"/>
    </xf>
    <xf numFmtId="0" fontId="1" fillId="0" borderId="9" xfId="0" applyFont="1" applyFill="1" applyBorder="1" applyAlignment="1">
      <alignment horizontal="right" vertical="center"/>
    </xf>
    <xf numFmtId="0" fontId="1" fillId="0" borderId="0" xfId="0" applyFont="1" applyBorder="1" applyAlignment="1">
      <alignment horizontal="distributed" vertical="center"/>
    </xf>
    <xf numFmtId="0" fontId="1" fillId="0" borderId="0" xfId="0" applyFont="1" applyBorder="1" applyAlignment="1">
      <alignment horizontal="left" vertical="center" indent="1"/>
    </xf>
    <xf numFmtId="0" fontId="1" fillId="0" borderId="0" xfId="0" applyFont="1" applyBorder="1" applyAlignment="1">
      <alignment horizontal="center" vertical="center"/>
    </xf>
    <xf numFmtId="189" fontId="1" fillId="0" borderId="0" xfId="0" applyNumberFormat="1" applyFont="1" applyFill="1" applyBorder="1" applyAlignment="1">
      <alignment horizontal="right" vertical="center"/>
    </xf>
    <xf numFmtId="0" fontId="1" fillId="0" borderId="20" xfId="0" applyFont="1" applyBorder="1" applyAlignment="1">
      <alignment horizontal="distributed" vertical="center"/>
    </xf>
    <xf numFmtId="0" fontId="3" fillId="0" borderId="0" xfId="0" applyFont="1" applyBorder="1" applyAlignment="1">
      <alignment horizontal="distributed" vertical="center"/>
    </xf>
    <xf numFmtId="0" fontId="1" fillId="0" borderId="0" xfId="0" applyFont="1" applyAlignment="1">
      <alignment horizontal="left" vertical="center" textRotation="255"/>
    </xf>
    <xf numFmtId="0" fontId="1" fillId="0" borderId="100" xfId="0" applyFont="1" applyBorder="1" applyAlignment="1">
      <alignment horizontal="center" vertical="center"/>
    </xf>
    <xf numFmtId="0" fontId="1" fillId="0" borderId="101" xfId="0" applyFont="1" applyBorder="1" applyAlignment="1">
      <alignment horizontal="center" vertical="center"/>
    </xf>
    <xf numFmtId="0" fontId="3" fillId="0" borderId="0" xfId="0" applyFont="1" applyFill="1" applyBorder="1" applyAlignment="1">
      <alignment horizontal="right" vertical="center"/>
    </xf>
    <xf numFmtId="176" fontId="1" fillId="0" borderId="0" xfId="0" applyNumberFormat="1" applyFont="1" applyFill="1" applyBorder="1" applyAlignment="1">
      <alignment vertical="center"/>
    </xf>
    <xf numFmtId="0" fontId="8" fillId="0" borderId="31" xfId="0" applyFont="1" applyBorder="1" applyAlignment="1">
      <alignment horizontal="center" vertical="center"/>
    </xf>
    <xf numFmtId="200" fontId="1" fillId="0" borderId="5"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41" xfId="0" applyFont="1" applyBorder="1" applyAlignment="1">
      <alignment horizontal="center" vertical="center"/>
    </xf>
    <xf numFmtId="0" fontId="1" fillId="0" borderId="17" xfId="0" applyFont="1" applyBorder="1" applyAlignment="1">
      <alignment horizontal="center" vertical="center"/>
    </xf>
    <xf numFmtId="0" fontId="1" fillId="0" borderId="39" xfId="0" applyFont="1" applyBorder="1" applyAlignment="1">
      <alignment horizontal="center" vertical="center"/>
    </xf>
    <xf numFmtId="0" fontId="1" fillId="0" borderId="1" xfId="0" applyFont="1" applyBorder="1" applyAlignment="1">
      <alignment horizontal="center" vertical="center"/>
    </xf>
    <xf numFmtId="0" fontId="1" fillId="0" borderId="88" xfId="0" applyFont="1" applyBorder="1" applyAlignment="1">
      <alignment horizontal="center" vertical="center"/>
    </xf>
    <xf numFmtId="0" fontId="1" fillId="0" borderId="70" xfId="0" applyFont="1" applyBorder="1" applyAlignment="1">
      <alignment horizontal="center" vertical="center"/>
    </xf>
    <xf numFmtId="0" fontId="1" fillId="0" borderId="0" xfId="0" applyFont="1" applyAlignment="1">
      <alignment horizontal="left" vertical="center"/>
    </xf>
    <xf numFmtId="176" fontId="1" fillId="0" borderId="0" xfId="0" applyNumberFormat="1" applyFont="1" applyFill="1" applyBorder="1" applyAlignment="1">
      <alignment horizontal="right" vertical="center"/>
    </xf>
    <xf numFmtId="0" fontId="1" fillId="0" borderId="31" xfId="0" applyFont="1" applyBorder="1" applyAlignment="1">
      <alignment horizontal="left" vertical="center" shrinkToFit="1"/>
    </xf>
    <xf numFmtId="0" fontId="1" fillId="0" borderId="104" xfId="0" applyFont="1" applyBorder="1" applyAlignment="1">
      <alignment horizontal="center" vertical="center"/>
    </xf>
    <xf numFmtId="0" fontId="1" fillId="0" borderId="48" xfId="0" applyFont="1" applyBorder="1" applyAlignment="1">
      <alignment horizontal="center" vertical="center"/>
    </xf>
    <xf numFmtId="0" fontId="1" fillId="0" borderId="87" xfId="0" applyFont="1" applyBorder="1" applyAlignment="1">
      <alignment horizontal="center" vertical="center"/>
    </xf>
    <xf numFmtId="200" fontId="1" fillId="0" borderId="21" xfId="0" applyNumberFormat="1" applyFont="1" applyFill="1" applyBorder="1" applyAlignment="1">
      <alignment vertical="center"/>
    </xf>
    <xf numFmtId="0" fontId="7" fillId="0" borderId="0" xfId="0" applyFont="1" applyBorder="1" applyAlignment="1">
      <alignment horizontal="distributed" vertical="center"/>
    </xf>
    <xf numFmtId="0" fontId="1" fillId="0" borderId="9" xfId="0" applyFont="1" applyBorder="1" applyAlignment="1">
      <alignment horizontal="distributed" vertical="center"/>
    </xf>
    <xf numFmtId="189" fontId="1" fillId="0" borderId="9" xfId="0" applyNumberFormat="1" applyFont="1" applyFill="1" applyBorder="1" applyAlignment="1">
      <alignment horizontal="right" vertical="center"/>
    </xf>
    <xf numFmtId="176" fontId="3" fillId="0" borderId="0" xfId="0" applyNumberFormat="1" applyFont="1" applyFill="1" applyBorder="1" applyAlignment="1">
      <alignment vertical="center"/>
    </xf>
    <xf numFmtId="0" fontId="1" fillId="0" borderId="16" xfId="0" applyFont="1" applyBorder="1" applyAlignment="1">
      <alignment horizontal="center" vertical="center"/>
    </xf>
    <xf numFmtId="200" fontId="1" fillId="0" borderId="5" xfId="0" applyNumberFormat="1" applyFont="1" applyFill="1" applyBorder="1" applyAlignment="1">
      <alignment horizontal="right" vertical="center"/>
    </xf>
    <xf numFmtId="200" fontId="1" fillId="0" borderId="0" xfId="0" applyNumberFormat="1" applyFont="1" applyFill="1" applyBorder="1" applyAlignment="1">
      <alignment horizontal="right" vertical="center"/>
    </xf>
    <xf numFmtId="0" fontId="1" fillId="0" borderId="60" xfId="0" applyFont="1" applyBorder="1" applyAlignment="1">
      <alignment horizontal="center" vertical="center"/>
    </xf>
    <xf numFmtId="0" fontId="1" fillId="0" borderId="47" xfId="0" applyFont="1" applyBorder="1" applyAlignment="1">
      <alignment horizontal="center" vertical="center"/>
    </xf>
    <xf numFmtId="176" fontId="1" fillId="0" borderId="9" xfId="0" applyNumberFormat="1" applyFont="1" applyFill="1" applyBorder="1" applyAlignment="1">
      <alignment vertical="center"/>
    </xf>
    <xf numFmtId="0" fontId="1"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1" fillId="0" borderId="0" xfId="0" applyFont="1" applyBorder="1" applyAlignment="1">
      <alignment horizontal="left" vertical="center"/>
    </xf>
    <xf numFmtId="0" fontId="1" fillId="0" borderId="12" xfId="0" applyFont="1" applyFill="1" applyBorder="1" applyAlignment="1">
      <alignment horizontal="center" vertical="center"/>
    </xf>
    <xf numFmtId="0" fontId="1" fillId="0" borderId="10" xfId="0" applyFont="1" applyBorder="1" applyAlignment="1">
      <alignment horizontal="center" vertical="center"/>
    </xf>
    <xf numFmtId="0" fontId="1" fillId="0" borderId="87" xfId="0" applyFont="1" applyFill="1" applyBorder="1" applyAlignment="1">
      <alignment horizontal="center" vertical="center"/>
    </xf>
    <xf numFmtId="0" fontId="1" fillId="0" borderId="16" xfId="0" applyFont="1" applyFill="1" applyBorder="1" applyAlignment="1">
      <alignment horizontal="center" vertical="center" shrinkToFit="1"/>
    </xf>
    <xf numFmtId="0" fontId="1" fillId="0" borderId="47" xfId="0" applyFont="1" applyFill="1" applyBorder="1" applyAlignment="1">
      <alignment horizontal="center" vertical="center" shrinkToFit="1"/>
    </xf>
    <xf numFmtId="200" fontId="3" fillId="0" borderId="5" xfId="0" applyNumberFormat="1" applyFont="1" applyFill="1" applyBorder="1" applyAlignment="1">
      <alignment vertical="center"/>
    </xf>
    <xf numFmtId="189" fontId="3" fillId="0" borderId="0" xfId="0" applyNumberFormat="1" applyFont="1" applyFill="1" applyBorder="1" applyAlignment="1">
      <alignment horizontal="right" vertical="center"/>
    </xf>
    <xf numFmtId="0" fontId="1" fillId="0" borderId="19" xfId="0" applyFont="1" applyBorder="1" applyAlignment="1">
      <alignment horizontal="distributed" vertical="center"/>
    </xf>
    <xf numFmtId="0" fontId="3" fillId="0" borderId="19" xfId="0" applyFont="1" applyBorder="1" applyAlignment="1">
      <alignment horizontal="distributed" vertical="center"/>
    </xf>
    <xf numFmtId="0" fontId="1" fillId="0" borderId="1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3" xfId="0" applyFont="1" applyBorder="1" applyAlignment="1">
      <alignment horizontal="center" vertical="center"/>
    </xf>
    <xf numFmtId="0" fontId="1" fillId="0" borderId="89" xfId="0" applyFont="1" applyBorder="1" applyAlignment="1">
      <alignment horizontal="center" vertical="center"/>
    </xf>
    <xf numFmtId="176" fontId="1" fillId="0" borderId="21" xfId="0" applyNumberFormat="1" applyFont="1" applyBorder="1" applyAlignment="1">
      <alignment horizontal="right" vertical="center"/>
    </xf>
    <xf numFmtId="0" fontId="1" fillId="0" borderId="25" xfId="0" applyFont="1" applyBorder="1" applyAlignment="1">
      <alignment horizontal="center" vertical="center"/>
    </xf>
    <xf numFmtId="0" fontId="1" fillId="0" borderId="6" xfId="0" applyFont="1" applyBorder="1" applyAlignment="1">
      <alignment horizontal="center" vertical="center"/>
    </xf>
    <xf numFmtId="176" fontId="1" fillId="0" borderId="5" xfId="0" applyNumberFormat="1" applyFont="1" applyBorder="1" applyAlignment="1">
      <alignment horizontal="right" vertical="center"/>
    </xf>
    <xf numFmtId="0" fontId="3" fillId="0" borderId="24" xfId="0" applyFont="1" applyBorder="1" applyAlignment="1">
      <alignment horizontal="center" vertical="center"/>
    </xf>
    <xf numFmtId="0" fontId="3" fillId="0" borderId="7" xfId="0" applyFont="1" applyBorder="1" applyAlignment="1">
      <alignment horizontal="center" vertical="center"/>
    </xf>
    <xf numFmtId="176" fontId="3" fillId="0" borderId="2" xfId="0" applyNumberFormat="1" applyFont="1" applyBorder="1" applyAlignment="1">
      <alignment horizontal="right" vertical="center"/>
    </xf>
    <xf numFmtId="0" fontId="1" fillId="0" borderId="19" xfId="0" applyFont="1" applyBorder="1" applyAlignment="1">
      <alignment horizontal="center" vertical="center"/>
    </xf>
    <xf numFmtId="0" fontId="1" fillId="0" borderId="5" xfId="0" applyFont="1" applyBorder="1" applyAlignment="1">
      <alignment horizontal="center" vertical="center"/>
    </xf>
    <xf numFmtId="0" fontId="1" fillId="0" borderId="18" xfId="0" applyFont="1" applyBorder="1" applyAlignment="1">
      <alignment horizontal="center" vertical="center"/>
    </xf>
    <xf numFmtId="0" fontId="1" fillId="0" borderId="49" xfId="0" applyFont="1" applyBorder="1" applyAlignment="1">
      <alignment horizontal="center" vertical="center"/>
    </xf>
    <xf numFmtId="0" fontId="1" fillId="0" borderId="27" xfId="0" applyFont="1" applyBorder="1" applyAlignment="1">
      <alignment horizontal="center" vertical="center"/>
    </xf>
    <xf numFmtId="0" fontId="1" fillId="0" borderId="30"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70" xfId="0" applyFont="1" applyFill="1" applyBorder="1" applyAlignment="1">
      <alignment horizontal="center" vertical="center"/>
    </xf>
    <xf numFmtId="0" fontId="1" fillId="0" borderId="0" xfId="0" applyFont="1" applyBorder="1" applyAlignment="1">
      <alignment horizontal="left" vertical="top" wrapText="1"/>
    </xf>
    <xf numFmtId="176" fontId="1" fillId="0" borderId="5" xfId="0" applyNumberFormat="1" applyFont="1" applyBorder="1" applyAlignment="1">
      <alignment vertical="center"/>
    </xf>
    <xf numFmtId="176" fontId="1" fillId="0" borderId="0" xfId="0" applyNumberFormat="1" applyFont="1" applyBorder="1" applyAlignment="1">
      <alignment vertical="center"/>
    </xf>
    <xf numFmtId="176" fontId="1" fillId="0" borderId="21" xfId="0" applyNumberFormat="1" applyFont="1" applyBorder="1" applyAlignment="1">
      <alignment vertical="center"/>
    </xf>
    <xf numFmtId="0" fontId="12" fillId="0" borderId="7" xfId="0" applyFont="1" applyBorder="1" applyAlignment="1">
      <alignment horizontal="center" vertical="center" shrinkToFit="1"/>
    </xf>
    <xf numFmtId="205" fontId="1" fillId="0" borderId="5" xfId="0" applyNumberFormat="1" applyFont="1" applyBorder="1" applyAlignment="1">
      <alignment vertical="center"/>
    </xf>
    <xf numFmtId="0" fontId="3" fillId="0" borderId="6" xfId="0" applyFont="1" applyBorder="1" applyAlignment="1">
      <alignment horizontal="center" vertical="center"/>
    </xf>
    <xf numFmtId="176" fontId="3" fillId="0" borderId="5" xfId="0" applyNumberFormat="1" applyFont="1" applyBorder="1" applyAlignment="1">
      <alignment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176" fontId="3" fillId="0" borderId="0" xfId="0" applyNumberFormat="1" applyFont="1" applyBorder="1" applyAlignment="1">
      <alignment vertical="center"/>
    </xf>
    <xf numFmtId="0" fontId="1" fillId="0" borderId="13" xfId="0" applyFont="1" applyBorder="1" applyAlignment="1">
      <alignment horizontal="center" vertical="center"/>
    </xf>
    <xf numFmtId="0" fontId="12" fillId="0" borderId="2" xfId="0" applyFont="1" applyBorder="1" applyAlignment="1">
      <alignment horizontal="center" vertical="center" shrinkToFit="1"/>
    </xf>
    <xf numFmtId="0" fontId="12" fillId="0" borderId="11" xfId="0" applyFont="1" applyBorder="1" applyAlignment="1">
      <alignment horizontal="center" vertical="center" shrinkToFit="1"/>
    </xf>
    <xf numFmtId="205" fontId="1" fillId="0" borderId="0" xfId="0" applyNumberFormat="1" applyFont="1" applyBorder="1" applyAlignment="1">
      <alignment vertical="center"/>
    </xf>
    <xf numFmtId="0" fontId="1" fillId="0" borderId="0" xfId="0" applyFont="1" applyBorder="1" applyAlignment="1">
      <alignment horizontal="center" vertical="top"/>
    </xf>
    <xf numFmtId="0" fontId="1" fillId="0" borderId="0" xfId="0" applyFont="1" applyBorder="1" applyAlignment="1">
      <alignment horizontal="right"/>
    </xf>
    <xf numFmtId="205" fontId="1" fillId="0" borderId="2" xfId="0" applyNumberFormat="1" applyFont="1" applyBorder="1" applyAlignment="1">
      <alignment vertical="center"/>
    </xf>
    <xf numFmtId="205" fontId="1" fillId="0" borderId="9" xfId="0" applyNumberFormat="1" applyFont="1" applyBorder="1" applyAlignment="1">
      <alignment vertical="center"/>
    </xf>
    <xf numFmtId="179" fontId="3" fillId="0" borderId="43" xfId="0" applyNumberFormat="1" applyFont="1" applyBorder="1" applyAlignment="1">
      <alignment horizontal="center" vertical="center"/>
    </xf>
    <xf numFmtId="179" fontId="3" fillId="0" borderId="89" xfId="0" applyNumberFormat="1" applyFont="1" applyBorder="1" applyAlignment="1">
      <alignment horizontal="center" vertical="center"/>
    </xf>
    <xf numFmtId="179" fontId="3" fillId="0" borderId="21" xfId="0" applyNumberFormat="1" applyFont="1" applyBorder="1" applyAlignment="1">
      <alignment horizontal="right" vertical="center"/>
    </xf>
    <xf numFmtId="179" fontId="1" fillId="0" borderId="19" xfId="0" applyNumberFormat="1" applyFont="1" applyBorder="1" applyAlignment="1">
      <alignment horizontal="center" vertical="center"/>
    </xf>
    <xf numFmtId="179" fontId="1" fillId="0" borderId="13" xfId="0" applyNumberFormat="1" applyFont="1" applyBorder="1" applyAlignment="1">
      <alignment horizontal="center" vertical="center"/>
    </xf>
    <xf numFmtId="179" fontId="1" fillId="0" borderId="5" xfId="0" applyNumberFormat="1" applyFont="1" applyBorder="1" applyAlignment="1">
      <alignment horizontal="right" vertical="center"/>
    </xf>
    <xf numFmtId="179" fontId="1" fillId="0" borderId="0" xfId="0" applyNumberFormat="1" applyFont="1" applyBorder="1" applyAlignment="1">
      <alignment horizontal="right" vertical="center"/>
    </xf>
    <xf numFmtId="0" fontId="3" fillId="0" borderId="36" xfId="0" applyFont="1" applyBorder="1" applyAlignment="1">
      <alignment horizontal="center" vertical="center"/>
    </xf>
    <xf numFmtId="0" fontId="3" fillId="0" borderId="20" xfId="0" applyFont="1" applyBorder="1" applyAlignment="1">
      <alignment horizontal="center" vertical="center"/>
    </xf>
    <xf numFmtId="0" fontId="3" fillId="0" borderId="37" xfId="0" applyFont="1" applyBorder="1" applyAlignment="1">
      <alignment horizontal="center" vertical="center"/>
    </xf>
    <xf numFmtId="0" fontId="1" fillId="0" borderId="0" xfId="0" applyFont="1" applyBorder="1" applyAlignment="1">
      <alignment horizontal="center"/>
    </xf>
    <xf numFmtId="0" fontId="1" fillId="0" borderId="8" xfId="0" applyFont="1" applyBorder="1" applyAlignment="1">
      <alignment horizontal="center" vertical="center"/>
    </xf>
    <xf numFmtId="0" fontId="1" fillId="0" borderId="23" xfId="0" applyFont="1" applyBorder="1" applyAlignment="1">
      <alignment horizontal="center" vertical="center"/>
    </xf>
    <xf numFmtId="179" fontId="1" fillId="0" borderId="33" xfId="0" applyNumberFormat="1" applyFont="1" applyBorder="1" applyAlignment="1">
      <alignment horizontal="center" vertical="center"/>
    </xf>
    <xf numFmtId="179" fontId="1" fillId="0" borderId="11" xfId="0" applyNumberFormat="1" applyFont="1" applyBorder="1" applyAlignment="1">
      <alignment horizontal="center" vertical="center"/>
    </xf>
    <xf numFmtId="179" fontId="1" fillId="0" borderId="2" xfId="0" applyNumberFormat="1" applyFont="1" applyBorder="1" applyAlignment="1">
      <alignment horizontal="right" vertical="center"/>
    </xf>
    <xf numFmtId="179" fontId="1" fillId="0" borderId="9" xfId="0" applyNumberFormat="1" applyFont="1" applyBorder="1" applyAlignment="1">
      <alignment horizontal="right" vertical="center"/>
    </xf>
    <xf numFmtId="0" fontId="1" fillId="0" borderId="49" xfId="0" applyFont="1" applyBorder="1" applyAlignment="1">
      <alignment horizontal="center"/>
    </xf>
    <xf numFmtId="0" fontId="1" fillId="0" borderId="32" xfId="0" applyFont="1" applyBorder="1" applyAlignment="1">
      <alignment horizontal="center"/>
    </xf>
    <xf numFmtId="205" fontId="1" fillId="0" borderId="9" xfId="0" applyNumberFormat="1" applyFont="1" applyBorder="1" applyAlignment="1">
      <alignment horizontal="right" vertical="center"/>
    </xf>
    <xf numFmtId="205" fontId="3" fillId="0" borderId="37" xfId="0" applyNumberFormat="1" applyFont="1" applyBorder="1" applyAlignment="1">
      <alignment horizontal="right" vertical="center"/>
    </xf>
    <xf numFmtId="205" fontId="3" fillId="0" borderId="42" xfId="0" applyNumberFormat="1" applyFont="1" applyBorder="1" applyAlignment="1">
      <alignment horizontal="right" vertical="center"/>
    </xf>
    <xf numFmtId="205" fontId="3" fillId="0" borderId="20" xfId="0" applyNumberFormat="1" applyFont="1" applyFill="1" applyBorder="1" applyAlignment="1">
      <alignment horizontal="right" vertical="center"/>
    </xf>
    <xf numFmtId="205" fontId="3" fillId="0" borderId="20" xfId="0" applyNumberFormat="1" applyFont="1" applyBorder="1" applyAlignment="1">
      <alignment horizontal="right" vertical="center"/>
    </xf>
    <xf numFmtId="205" fontId="1" fillId="0" borderId="0" xfId="0" applyNumberFormat="1" applyFont="1" applyFill="1" applyBorder="1" applyAlignment="1">
      <alignment horizontal="right" vertical="center"/>
    </xf>
    <xf numFmtId="205" fontId="1" fillId="0" borderId="0" xfId="0" applyNumberFormat="1" applyFont="1" applyBorder="1" applyAlignment="1">
      <alignment horizontal="right" vertical="center"/>
    </xf>
    <xf numFmtId="205" fontId="1" fillId="0" borderId="13" xfId="0" applyNumberFormat="1" applyFont="1" applyBorder="1" applyAlignment="1">
      <alignment horizontal="right" vertical="center"/>
    </xf>
    <xf numFmtId="205" fontId="1" fillId="0" borderId="35" xfId="0" applyNumberFormat="1" applyFont="1" applyBorder="1" applyAlignment="1">
      <alignment horizontal="right" vertical="center"/>
    </xf>
    <xf numFmtId="205" fontId="3" fillId="0" borderId="21" xfId="0" applyNumberFormat="1" applyFont="1" applyBorder="1" applyAlignment="1">
      <alignment horizontal="right" vertical="center"/>
    </xf>
    <xf numFmtId="205" fontId="1" fillId="0" borderId="34" xfId="0" applyNumberFormat="1" applyFont="1" applyBorder="1" applyAlignment="1">
      <alignment horizontal="right" vertical="center"/>
    </xf>
    <xf numFmtId="0" fontId="1" fillId="0" borderId="33"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205" fontId="1" fillId="0" borderId="2" xfId="0" applyNumberFormat="1" applyFont="1" applyBorder="1" applyAlignment="1">
      <alignment horizontal="right" vertical="center"/>
    </xf>
    <xf numFmtId="205" fontId="1" fillId="0" borderId="5" xfId="0" applyNumberFormat="1" applyFont="1" applyBorder="1" applyAlignment="1">
      <alignment horizontal="right" vertical="center"/>
    </xf>
    <xf numFmtId="0" fontId="1" fillId="0" borderId="43" xfId="0" applyFont="1" applyBorder="1" applyAlignment="1">
      <alignment horizontal="distributed" vertical="center"/>
    </xf>
    <xf numFmtId="0" fontId="1" fillId="0" borderId="89" xfId="0" applyFont="1" applyBorder="1" applyAlignment="1">
      <alignment horizontal="distributed" vertical="center"/>
    </xf>
    <xf numFmtId="176" fontId="1" fillId="0" borderId="20" xfId="0" applyNumberFormat="1" applyFont="1" applyBorder="1" applyAlignment="1">
      <alignment vertical="center"/>
    </xf>
    <xf numFmtId="0" fontId="1" fillId="0" borderId="57" xfId="0" applyFont="1" applyBorder="1" applyAlignment="1">
      <alignment horizontal="center" vertical="center"/>
    </xf>
    <xf numFmtId="0" fontId="1" fillId="0" borderId="25" xfId="0" applyFont="1" applyBorder="1" applyAlignment="1">
      <alignment horizontal="distributed" vertical="center"/>
    </xf>
    <xf numFmtId="0" fontId="1" fillId="0" borderId="6" xfId="0" applyFont="1" applyBorder="1" applyAlignment="1">
      <alignment horizontal="distributed" vertical="center"/>
    </xf>
    <xf numFmtId="0" fontId="3" fillId="0" borderId="25" xfId="0" applyFont="1" applyBorder="1" applyAlignment="1">
      <alignment horizontal="distributed" vertical="center"/>
    </xf>
    <xf numFmtId="0" fontId="3" fillId="0" borderId="6" xfId="0" applyFont="1" applyBorder="1" applyAlignment="1">
      <alignment horizontal="distributed" vertical="center"/>
    </xf>
    <xf numFmtId="0" fontId="1" fillId="0" borderId="0" xfId="0" applyFont="1" applyBorder="1" applyAlignment="1">
      <alignment vertical="top" wrapText="1" shrinkToFit="1"/>
    </xf>
    <xf numFmtId="176" fontId="1" fillId="0" borderId="9" xfId="0" applyNumberFormat="1" applyFont="1" applyBorder="1" applyAlignment="1">
      <alignment vertical="center"/>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left" vertical="center"/>
    </xf>
    <xf numFmtId="0" fontId="1" fillId="0" borderId="31" xfId="0" applyFont="1" applyBorder="1" applyAlignment="1">
      <alignment horizontal="left" vertical="center"/>
    </xf>
    <xf numFmtId="0" fontId="1" fillId="0" borderId="3" xfId="0" applyFont="1" applyBorder="1" applyAlignment="1">
      <alignment horizontal="left" vertical="center"/>
    </xf>
    <xf numFmtId="0" fontId="1" fillId="0" borderId="15" xfId="0" applyFont="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23" xfId="0" applyFont="1" applyBorder="1" applyAlignment="1">
      <alignment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32" xfId="0" applyFont="1" applyBorder="1" applyAlignment="1">
      <alignment horizontal="center" vertical="center"/>
    </xf>
    <xf numFmtId="0" fontId="1" fillId="0" borderId="6"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4" xfId="0" applyFont="1" applyBorder="1" applyAlignment="1">
      <alignment horizontal="distributed" vertical="center"/>
    </xf>
    <xf numFmtId="0" fontId="1" fillId="0" borderId="7" xfId="0" applyFont="1" applyBorder="1" applyAlignment="1">
      <alignment horizontal="distributed" vertical="center"/>
    </xf>
    <xf numFmtId="177" fontId="1" fillId="0" borderId="37" xfId="0" applyNumberFormat="1" applyFont="1" applyFill="1" applyBorder="1" applyAlignment="1">
      <alignment vertical="center"/>
    </xf>
    <xf numFmtId="177" fontId="1" fillId="0" borderId="42" xfId="0" applyNumberFormat="1" applyFont="1" applyFill="1" applyBorder="1" applyAlignment="1">
      <alignment vertical="center"/>
    </xf>
    <xf numFmtId="177" fontId="1" fillId="0" borderId="13" xfId="0" applyNumberFormat="1" applyFont="1" applyFill="1" applyBorder="1" applyAlignment="1">
      <alignment vertical="center"/>
    </xf>
    <xf numFmtId="177" fontId="1" fillId="0" borderId="35" xfId="0" applyNumberFormat="1" applyFont="1" applyFill="1" applyBorder="1" applyAlignment="1">
      <alignment vertical="center"/>
    </xf>
    <xf numFmtId="177" fontId="1" fillId="0" borderId="0" xfId="0" applyNumberFormat="1" applyFont="1" applyFill="1" applyBorder="1" applyAlignment="1">
      <alignment vertical="center"/>
    </xf>
    <xf numFmtId="177" fontId="1" fillId="0" borderId="20" xfId="0" applyNumberFormat="1" applyFont="1" applyFill="1" applyBorder="1" applyAlignment="1">
      <alignment vertical="center"/>
    </xf>
    <xf numFmtId="177" fontId="3" fillId="0" borderId="0" xfId="0" applyNumberFormat="1" applyFont="1" applyFill="1" applyBorder="1" applyAlignment="1">
      <alignment vertical="center"/>
    </xf>
    <xf numFmtId="177" fontId="3" fillId="0" borderId="13" xfId="0" applyNumberFormat="1" applyFont="1" applyFill="1" applyBorder="1" applyAlignment="1">
      <alignment vertical="center"/>
    </xf>
    <xf numFmtId="177" fontId="3" fillId="0" borderId="35" xfId="0" applyNumberFormat="1" applyFont="1" applyFill="1" applyBorder="1" applyAlignment="1">
      <alignment vertical="center"/>
    </xf>
    <xf numFmtId="177" fontId="1" fillId="0" borderId="9" xfId="0" applyNumberFormat="1" applyFont="1" applyFill="1" applyBorder="1" applyAlignment="1">
      <alignment vertical="center"/>
    </xf>
    <xf numFmtId="0" fontId="23" fillId="0" borderId="31" xfId="0" applyFont="1" applyBorder="1" applyAlignment="1">
      <alignment horizontal="left" vertical="center"/>
    </xf>
    <xf numFmtId="0" fontId="1" fillId="0" borderId="5" xfId="0" applyFont="1" applyBorder="1" applyAlignment="1">
      <alignment horizontal="distributed" vertical="center"/>
    </xf>
    <xf numFmtId="0" fontId="3" fillId="0" borderId="5" xfId="0" applyFont="1" applyBorder="1" applyAlignment="1">
      <alignment horizontal="distributed" vertical="center"/>
    </xf>
    <xf numFmtId="0" fontId="1" fillId="0" borderId="32" xfId="0" applyFont="1" applyBorder="1" applyAlignment="1">
      <alignment horizontal="center" vertical="center" shrinkToFit="1"/>
    </xf>
    <xf numFmtId="0" fontId="1" fillId="0" borderId="44" xfId="0" applyFont="1" applyBorder="1" applyAlignment="1">
      <alignment horizontal="center" vertical="center" shrinkToFit="1"/>
    </xf>
    <xf numFmtId="0" fontId="1" fillId="0" borderId="19" xfId="0" applyFont="1" applyBorder="1" applyAlignment="1">
      <alignment horizontal="justify" vertical="center"/>
    </xf>
    <xf numFmtId="0" fontId="1" fillId="0" borderId="5" xfId="0" applyFont="1" applyBorder="1" applyAlignment="1">
      <alignment horizontal="justify" vertical="center"/>
    </xf>
    <xf numFmtId="0" fontId="1" fillId="0" borderId="41" xfId="0" applyFont="1" applyBorder="1" applyAlignment="1">
      <alignment horizontal="center" vertical="center" wrapText="1"/>
    </xf>
    <xf numFmtId="0" fontId="1" fillId="0" borderId="39" xfId="0" applyFont="1" applyBorder="1" applyAlignment="1">
      <alignment horizontal="center" vertical="center" wrapText="1"/>
    </xf>
    <xf numFmtId="0" fontId="23" fillId="0" borderId="0" xfId="0" applyFont="1" applyAlignment="1">
      <alignment horizontal="left" vertical="center"/>
    </xf>
    <xf numFmtId="206" fontId="1" fillId="0" borderId="35" xfId="0" applyNumberFormat="1" applyFont="1" applyFill="1" applyBorder="1" applyAlignment="1">
      <alignment horizontal="right" vertical="center"/>
    </xf>
    <xf numFmtId="206" fontId="1" fillId="0" borderId="42" xfId="0" applyNumberFormat="1" applyFont="1" applyFill="1" applyBorder="1" applyAlignment="1">
      <alignment horizontal="right" vertical="center"/>
    </xf>
    <xf numFmtId="206" fontId="1" fillId="0" borderId="0" xfId="0" applyNumberFormat="1" applyFont="1" applyFill="1" applyBorder="1" applyAlignment="1">
      <alignment horizontal="right" vertical="center"/>
    </xf>
    <xf numFmtId="206" fontId="1" fillId="0" borderId="20" xfId="0" applyNumberFormat="1" applyFont="1" applyFill="1" applyBorder="1" applyAlignment="1">
      <alignment horizontal="right" vertical="center"/>
    </xf>
    <xf numFmtId="180" fontId="1" fillId="0" borderId="0" xfId="0" applyNumberFormat="1" applyFont="1" applyBorder="1" applyAlignment="1">
      <alignment horizontal="right" vertical="center"/>
    </xf>
    <xf numFmtId="180" fontId="1" fillId="0" borderId="20" xfId="0" applyNumberFormat="1" applyFont="1" applyBorder="1" applyAlignment="1">
      <alignment horizontal="right" vertical="center"/>
    </xf>
    <xf numFmtId="179" fontId="1" fillId="0" borderId="20" xfId="0" applyNumberFormat="1" applyFont="1" applyBorder="1" applyAlignment="1">
      <alignment horizontal="right" vertical="center"/>
    </xf>
    <xf numFmtId="0" fontId="1" fillId="0" borderId="0" xfId="6" applyFont="1" applyBorder="1" applyAlignment="1">
      <alignment horizontal="center" vertical="center"/>
    </xf>
    <xf numFmtId="0" fontId="1" fillId="0" borderId="0" xfId="6" applyFont="1" applyAlignment="1">
      <alignment horizontal="center" vertical="center"/>
    </xf>
    <xf numFmtId="0" fontId="4" fillId="0" borderId="0" xfId="6" applyFont="1" applyBorder="1" applyAlignment="1">
      <alignment horizontal="center" vertical="center"/>
    </xf>
    <xf numFmtId="0" fontId="20" fillId="0" borderId="0" xfId="5" applyFont="1" applyFill="1" applyAlignment="1">
      <alignment horizontal="centerContinuous" vertical="center"/>
    </xf>
    <xf numFmtId="10" fontId="32" fillId="0" borderId="0" xfId="1" applyNumberFormat="1" applyFont="1" applyFill="1" applyBorder="1">
      <alignment vertical="center"/>
    </xf>
    <xf numFmtId="0" fontId="32" fillId="0" borderId="0" xfId="0" applyFont="1" applyFill="1">
      <alignment vertical="center"/>
    </xf>
    <xf numFmtId="182" fontId="32" fillId="0" borderId="0" xfId="0" applyNumberFormat="1" applyFont="1" applyFill="1">
      <alignment vertical="center"/>
    </xf>
    <xf numFmtId="0" fontId="33" fillId="0" borderId="0" xfId="0" applyFont="1" applyFill="1" applyBorder="1" applyAlignment="1">
      <alignment vertical="center"/>
    </xf>
    <xf numFmtId="0" fontId="32" fillId="0" borderId="0" xfId="0" applyFont="1" applyFill="1" applyAlignment="1">
      <alignment vertical="center"/>
    </xf>
    <xf numFmtId="10" fontId="33" fillId="0" borderId="0" xfId="0" applyNumberFormat="1" applyFont="1" applyAlignment="1">
      <alignment vertical="center"/>
    </xf>
    <xf numFmtId="0" fontId="33" fillId="0" borderId="0" xfId="0" applyFont="1" applyAlignment="1">
      <alignment vertical="center"/>
    </xf>
    <xf numFmtId="200" fontId="33" fillId="0" borderId="0" xfId="0" applyNumberFormat="1" applyFont="1" applyAlignment="1">
      <alignment vertical="center"/>
    </xf>
  </cellXfs>
  <cellStyles count="7">
    <cellStyle name="パーセント" xfId="1" builtinId="5"/>
    <cellStyle name="桁区切り 2" xfId="2"/>
    <cellStyle name="桁区切り_02_人口_15～" xfId="3"/>
    <cellStyle name="標準" xfId="0" builtinId="0"/>
    <cellStyle name="標準 2" xfId="4"/>
    <cellStyle name="標準 3" xfId="5"/>
    <cellStyle name="標準_02_人口_15～"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579D1C"/>
      <rgbColor rgb="00003300"/>
      <rgbColor rgb="00333300"/>
      <rgbColor rgb="00993300"/>
      <rgbColor rgb="00993366"/>
      <rgbColor rgb="00333399"/>
      <rgbColor rgb="00333333"/>
    </indexedColors>
    <mruColors>
      <color rgb="FF9292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64829396325528E-2"/>
          <c:y val="6.6985645933014371E-2"/>
          <c:w val="0.79265091863518555"/>
          <c:h val="0.77033492822966509"/>
        </c:manualLayout>
      </c:layout>
      <c:barChart>
        <c:barDir val="col"/>
        <c:grouping val="stacked"/>
        <c:varyColors val="0"/>
        <c:ser>
          <c:idx val="1"/>
          <c:order val="0"/>
          <c:tx>
            <c:strRef>
              <c:f>グラフ!$I$4</c:f>
              <c:strCache>
                <c:ptCount val="1"/>
                <c:pt idx="0">
                  <c:v>男</c:v>
                </c:pt>
              </c:strCache>
            </c:strRef>
          </c:tx>
          <c:spPr>
            <a:solidFill>
              <a:schemeClr val="bg1">
                <a:lumMod val="75000"/>
              </a:schemeClr>
            </a:solidFill>
            <a:ln w="12700">
              <a:solidFill>
                <a:srgbClr val="000000"/>
              </a:solidFill>
              <a:prstDash val="solid"/>
            </a:ln>
          </c:spPr>
          <c:invertIfNegative val="0"/>
          <c:dPt>
            <c:idx val="6"/>
            <c:invertIfNegative val="0"/>
            <c:bubble3D val="0"/>
            <c:spPr>
              <a:solidFill>
                <a:schemeClr val="bg1">
                  <a:lumMod val="75000"/>
                </a:schemeClr>
              </a:solidFill>
              <a:ln w="12700">
                <a:solidFill>
                  <a:sysClr val="windowText" lastClr="000000"/>
                </a:solidFill>
                <a:prstDash val="solid"/>
              </a:ln>
            </c:spPr>
          </c:dPt>
          <c:dLbls>
            <c:dLbl>
              <c:idx val="9"/>
              <c:layout>
                <c:manualLayout>
                  <c:x val="-1.2831581135642197E-16"/>
                  <c:y val="-2.870813397129186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グラフ!$H$5:$H$14</c:f>
              <c:strCache>
                <c:ptCount val="10"/>
                <c:pt idx="0">
                  <c:v>平成19</c:v>
                </c:pt>
                <c:pt idx="1">
                  <c:v>20</c:v>
                </c:pt>
                <c:pt idx="2">
                  <c:v>21</c:v>
                </c:pt>
                <c:pt idx="3">
                  <c:v>22</c:v>
                </c:pt>
                <c:pt idx="4">
                  <c:v>23</c:v>
                </c:pt>
                <c:pt idx="5">
                  <c:v>24</c:v>
                </c:pt>
                <c:pt idx="6">
                  <c:v>25</c:v>
                </c:pt>
                <c:pt idx="7">
                  <c:v>26</c:v>
                </c:pt>
                <c:pt idx="8">
                  <c:v>27</c:v>
                </c:pt>
                <c:pt idx="9">
                  <c:v>28</c:v>
                </c:pt>
              </c:strCache>
            </c:strRef>
          </c:cat>
          <c:val>
            <c:numRef>
              <c:f>グラフ!$I$5:$I$14</c:f>
              <c:numCache>
                <c:formatCode>#,##0_);[Red]\(#,##0\)</c:formatCode>
                <c:ptCount val="10"/>
                <c:pt idx="0">
                  <c:v>53757</c:v>
                </c:pt>
                <c:pt idx="1">
                  <c:v>53971</c:v>
                </c:pt>
                <c:pt idx="2">
                  <c:v>54426</c:v>
                </c:pt>
                <c:pt idx="3">
                  <c:v>54612</c:v>
                </c:pt>
                <c:pt idx="4">
                  <c:v>54927</c:v>
                </c:pt>
                <c:pt idx="5">
                  <c:v>55780</c:v>
                </c:pt>
                <c:pt idx="6">
                  <c:v>55949</c:v>
                </c:pt>
                <c:pt idx="7">
                  <c:v>55850</c:v>
                </c:pt>
                <c:pt idx="8">
                  <c:v>55729</c:v>
                </c:pt>
                <c:pt idx="9">
                  <c:v>55787</c:v>
                </c:pt>
              </c:numCache>
            </c:numRef>
          </c:val>
        </c:ser>
        <c:ser>
          <c:idx val="0"/>
          <c:order val="1"/>
          <c:tx>
            <c:strRef>
              <c:f>グラフ!$J$4</c:f>
              <c:strCache>
                <c:ptCount val="1"/>
                <c:pt idx="0">
                  <c:v>女</c:v>
                </c:pt>
              </c:strCache>
            </c:strRef>
          </c:tx>
          <c:spPr>
            <a:solidFill>
              <a:schemeClr val="bg1">
                <a:lumMod val="95000"/>
              </a:schemeClr>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グラフ!$H$5:$H$14</c:f>
              <c:strCache>
                <c:ptCount val="10"/>
                <c:pt idx="0">
                  <c:v>平成19</c:v>
                </c:pt>
                <c:pt idx="1">
                  <c:v>20</c:v>
                </c:pt>
                <c:pt idx="2">
                  <c:v>21</c:v>
                </c:pt>
                <c:pt idx="3">
                  <c:v>22</c:v>
                </c:pt>
                <c:pt idx="4">
                  <c:v>23</c:v>
                </c:pt>
                <c:pt idx="5">
                  <c:v>24</c:v>
                </c:pt>
                <c:pt idx="6">
                  <c:v>25</c:v>
                </c:pt>
                <c:pt idx="7">
                  <c:v>26</c:v>
                </c:pt>
                <c:pt idx="8">
                  <c:v>27</c:v>
                </c:pt>
                <c:pt idx="9">
                  <c:v>28</c:v>
                </c:pt>
              </c:strCache>
            </c:strRef>
          </c:cat>
          <c:val>
            <c:numRef>
              <c:f>グラフ!$J$5:$J$14</c:f>
              <c:numCache>
                <c:formatCode>#,##0_);[Red]\(#,##0\)</c:formatCode>
                <c:ptCount val="10"/>
                <c:pt idx="0">
                  <c:v>55660</c:v>
                </c:pt>
                <c:pt idx="1">
                  <c:v>56135</c:v>
                </c:pt>
                <c:pt idx="2">
                  <c:v>56563</c:v>
                </c:pt>
                <c:pt idx="3">
                  <c:v>56983</c:v>
                </c:pt>
                <c:pt idx="4">
                  <c:v>57350</c:v>
                </c:pt>
                <c:pt idx="5">
                  <c:v>57965</c:v>
                </c:pt>
                <c:pt idx="6">
                  <c:v>58268</c:v>
                </c:pt>
                <c:pt idx="7">
                  <c:v>58395</c:v>
                </c:pt>
                <c:pt idx="8">
                  <c:v>58436</c:v>
                </c:pt>
                <c:pt idx="9">
                  <c:v>58550</c:v>
                </c:pt>
              </c:numCache>
            </c:numRef>
          </c:val>
        </c:ser>
        <c:dLbls>
          <c:showLegendKey val="0"/>
          <c:showVal val="1"/>
          <c:showCatName val="0"/>
          <c:showSerName val="0"/>
          <c:showPercent val="0"/>
          <c:showBubbleSize val="0"/>
        </c:dLbls>
        <c:gapWidth val="20"/>
        <c:overlap val="100"/>
        <c:axId val="426069192"/>
        <c:axId val="426073112"/>
      </c:barChart>
      <c:lineChart>
        <c:grouping val="standard"/>
        <c:varyColors val="0"/>
        <c:ser>
          <c:idx val="2"/>
          <c:order val="2"/>
          <c:tx>
            <c:strRef>
              <c:f>グラフ!$K$4</c:f>
              <c:strCache>
                <c:ptCount val="1"/>
                <c:pt idx="0">
                  <c:v>上昇率</c:v>
                </c:pt>
              </c:strCache>
            </c:strRef>
          </c:tx>
          <c:spPr>
            <a:ln w="25400">
              <a:solidFill>
                <a:srgbClr val="000000"/>
              </a:solidFill>
              <a:prstDash val="solid"/>
            </a:ln>
          </c:spPr>
          <c:marker>
            <c:symbol val="circle"/>
            <c:size val="7"/>
            <c:spPr>
              <a:solidFill>
                <a:srgbClr val="FFFFFF"/>
              </a:solidFill>
              <a:ln>
                <a:solidFill>
                  <a:srgbClr val="000000"/>
                </a:solidFill>
                <a:prstDash val="solid"/>
              </a:ln>
            </c:spPr>
          </c:marker>
          <c:dLbls>
            <c:dLbl>
              <c:idx val="0"/>
              <c:layout>
                <c:manualLayout>
                  <c:x val="-6.5852949483676745E-2"/>
                  <c:y val="5.685817980886360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8853824374315418E-2"/>
                  <c:y val="2.815004583757168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9903693140719617E-2"/>
                  <c:y val="3.875598086124401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9903693140719617E-2"/>
                  <c:y val="4.513556618819776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5.9903693140719617E-2"/>
                  <c:y val="2.599681020733652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1408505039232299E-2"/>
                  <c:y val="-2.7113237639553429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5.640413058603895E-2"/>
                  <c:y val="-3.141945773524720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7908942484551636E-2"/>
                  <c:y val="-1.004784688995221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5.9903693140719617E-2"/>
                  <c:y val="3.141945773524720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4.5905442921996956E-2"/>
                  <c:y val="2.918660287081339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105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グラフ!$H$5:$H$13</c:f>
              <c:strCache>
                <c:ptCount val="9"/>
                <c:pt idx="0">
                  <c:v>平成19</c:v>
                </c:pt>
                <c:pt idx="1">
                  <c:v>20</c:v>
                </c:pt>
                <c:pt idx="2">
                  <c:v>21</c:v>
                </c:pt>
                <c:pt idx="3">
                  <c:v>22</c:v>
                </c:pt>
                <c:pt idx="4">
                  <c:v>23</c:v>
                </c:pt>
                <c:pt idx="5">
                  <c:v>24</c:v>
                </c:pt>
                <c:pt idx="6">
                  <c:v>25</c:v>
                </c:pt>
                <c:pt idx="7">
                  <c:v>26</c:v>
                </c:pt>
                <c:pt idx="8">
                  <c:v>27</c:v>
                </c:pt>
              </c:strCache>
            </c:strRef>
          </c:cat>
          <c:val>
            <c:numRef>
              <c:f>グラフ!$K$5:$K$14</c:f>
              <c:numCache>
                <c:formatCode>0.0_ </c:formatCode>
                <c:ptCount val="10"/>
                <c:pt idx="0">
                  <c:v>1.5171317071387445</c:v>
                </c:pt>
                <c:pt idx="1">
                  <c:v>0.62576063066499554</c:v>
                </c:pt>
                <c:pt idx="2">
                  <c:v>0.7955743361954789</c:v>
                </c:pt>
                <c:pt idx="3">
                  <c:v>0.54303508221694519</c:v>
                </c:pt>
                <c:pt idx="4">
                  <c:v>0.60742627608503974</c:v>
                </c:pt>
                <c:pt idx="5">
                  <c:v>1.2906061804914502</c:v>
                </c:pt>
                <c:pt idx="6">
                  <c:v>0.41324846563996598</c:v>
                </c:pt>
                <c:pt idx="7">
                  <c:v>2.4508731235502644E-2</c:v>
                </c:pt>
                <c:pt idx="8">
                  <c:v>-7.0074015679061005E-2</c:v>
                </c:pt>
                <c:pt idx="9">
                  <c:v>0.15043249341857842</c:v>
                </c:pt>
              </c:numCache>
            </c:numRef>
          </c:val>
          <c:smooth val="0"/>
        </c:ser>
        <c:dLbls>
          <c:showLegendKey val="0"/>
          <c:showVal val="1"/>
          <c:showCatName val="0"/>
          <c:showSerName val="0"/>
          <c:showPercent val="0"/>
          <c:showBubbleSize val="0"/>
        </c:dLbls>
        <c:marker val="1"/>
        <c:smooth val="0"/>
        <c:axId val="426070368"/>
        <c:axId val="426070760"/>
      </c:lineChart>
      <c:catAx>
        <c:axId val="4260691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26073112"/>
        <c:crosses val="autoZero"/>
        <c:auto val="0"/>
        <c:lblAlgn val="ctr"/>
        <c:lblOffset val="100"/>
        <c:tickLblSkip val="3"/>
        <c:tickMarkSkip val="1"/>
        <c:noMultiLvlLbl val="0"/>
      </c:catAx>
      <c:valAx>
        <c:axId val="426073112"/>
        <c:scaling>
          <c:orientation val="minMax"/>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426069192"/>
        <c:crosses val="autoZero"/>
        <c:crossBetween val="between"/>
        <c:dispUnits>
          <c:builtInUnit val="tenThousands"/>
          <c:dispUnitsLbl>
            <c:layout>
              <c:manualLayout>
                <c:xMode val="edge"/>
                <c:yMode val="edge"/>
                <c:x val="5.7742782152232136E-2"/>
                <c:y val="2.1531100478469657E-2"/>
              </c:manualLayout>
            </c:layout>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万人</a:t>
                  </a:r>
                </a:p>
              </c:rich>
            </c:tx>
            <c:spPr>
              <a:noFill/>
              <a:ln w="25400">
                <a:noFill/>
              </a:ln>
            </c:spPr>
          </c:dispUnitsLbl>
        </c:dispUnits>
      </c:valAx>
      <c:catAx>
        <c:axId val="426070368"/>
        <c:scaling>
          <c:orientation val="minMax"/>
        </c:scaling>
        <c:delete val="1"/>
        <c:axPos val="b"/>
        <c:numFmt formatCode="General" sourceLinked="1"/>
        <c:majorTickMark val="out"/>
        <c:minorTickMark val="none"/>
        <c:tickLblPos val="none"/>
        <c:crossAx val="426070760"/>
        <c:crosses val="autoZero"/>
        <c:auto val="0"/>
        <c:lblAlgn val="ctr"/>
        <c:lblOffset val="100"/>
        <c:noMultiLvlLbl val="0"/>
      </c:catAx>
      <c:valAx>
        <c:axId val="426070760"/>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514435695538725"/>
              <c:y val="2.1531100478469477E-2"/>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26070368"/>
        <c:crosses val="max"/>
        <c:crossBetween val="between"/>
      </c:valAx>
      <c:spPr>
        <a:noFill/>
        <a:ln w="12700">
          <a:solidFill>
            <a:srgbClr val="000000"/>
          </a:solidFill>
          <a:prstDash val="solid"/>
        </a:ln>
      </c:spPr>
    </c:plotArea>
    <c:legend>
      <c:legendPos val="b"/>
      <c:layout>
        <c:manualLayout>
          <c:xMode val="edge"/>
          <c:yMode val="edge"/>
          <c:x val="0.16010498687664043"/>
          <c:y val="0.9306220095693839"/>
          <c:w val="0.67454068241470833"/>
          <c:h val="6.220095693779892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335375954989548"/>
          <c:y val="6.2500141285403293E-2"/>
          <c:w val="0.7764361906925491"/>
          <c:h val="0.78472399613895261"/>
        </c:manualLayout>
      </c:layout>
      <c:barChart>
        <c:barDir val="col"/>
        <c:grouping val="stacked"/>
        <c:varyColors val="0"/>
        <c:ser>
          <c:idx val="0"/>
          <c:order val="0"/>
          <c:tx>
            <c:strRef>
              <c:f>グラフ!$I$186</c:f>
              <c:strCache>
                <c:ptCount val="1"/>
                <c:pt idx="0">
                  <c:v>年少人口</c:v>
                </c:pt>
              </c:strCache>
            </c:strRef>
          </c:tx>
          <c:spPr>
            <a:pattFill prst="wd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グラフ!$H$187:$H$189</c:f>
              <c:strCache>
                <c:ptCount val="3"/>
                <c:pt idx="0">
                  <c:v>平成17年</c:v>
                </c:pt>
                <c:pt idx="1">
                  <c:v>22年</c:v>
                </c:pt>
                <c:pt idx="2">
                  <c:v>27年</c:v>
                </c:pt>
              </c:strCache>
            </c:strRef>
          </c:cat>
          <c:val>
            <c:numRef>
              <c:f>グラフ!$I$187:$I$189</c:f>
              <c:numCache>
                <c:formatCode>#,##0_);[Red]\(#,##0\)</c:formatCode>
                <c:ptCount val="3"/>
                <c:pt idx="0">
                  <c:v>21528</c:v>
                </c:pt>
                <c:pt idx="1">
                  <c:v>21264</c:v>
                </c:pt>
                <c:pt idx="2">
                  <c:v>20910</c:v>
                </c:pt>
              </c:numCache>
            </c:numRef>
          </c:val>
        </c:ser>
        <c:ser>
          <c:idx val="1"/>
          <c:order val="1"/>
          <c:tx>
            <c:strRef>
              <c:f>グラフ!$J$186</c:f>
              <c:strCache>
                <c:ptCount val="1"/>
                <c:pt idx="0">
                  <c:v>生産年齢人口</c:v>
                </c:pt>
              </c:strCache>
            </c:strRef>
          </c:tx>
          <c:spPr>
            <a:pattFill prst="pct10">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グラフ!$H$187:$H$189</c:f>
              <c:strCache>
                <c:ptCount val="3"/>
                <c:pt idx="0">
                  <c:v>平成17年</c:v>
                </c:pt>
                <c:pt idx="1">
                  <c:v>22年</c:v>
                </c:pt>
                <c:pt idx="2">
                  <c:v>27年</c:v>
                </c:pt>
              </c:strCache>
            </c:strRef>
          </c:cat>
          <c:val>
            <c:numRef>
              <c:f>グラフ!$J$187:$J$189</c:f>
              <c:numCache>
                <c:formatCode>#,##0_);[Red]\(#,##0\)</c:formatCode>
                <c:ptCount val="3"/>
                <c:pt idx="0">
                  <c:v>71343</c:v>
                </c:pt>
                <c:pt idx="1">
                  <c:v>72687</c:v>
                </c:pt>
                <c:pt idx="2">
                  <c:v>72626</c:v>
                </c:pt>
              </c:numCache>
            </c:numRef>
          </c:val>
        </c:ser>
        <c:ser>
          <c:idx val="2"/>
          <c:order val="2"/>
          <c:tx>
            <c:strRef>
              <c:f>グラフ!$K$186</c:f>
              <c:strCache>
                <c:ptCount val="1"/>
                <c:pt idx="0">
                  <c:v>老年人口</c:v>
                </c:pt>
              </c:strCache>
            </c:strRef>
          </c:tx>
          <c:spPr>
            <a:pattFill prst="openDmnd">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グラフ!$H$187:$H$189</c:f>
              <c:strCache>
                <c:ptCount val="3"/>
                <c:pt idx="0">
                  <c:v>平成17年</c:v>
                </c:pt>
                <c:pt idx="1">
                  <c:v>22年</c:v>
                </c:pt>
                <c:pt idx="2">
                  <c:v>27年</c:v>
                </c:pt>
              </c:strCache>
            </c:strRef>
          </c:cat>
          <c:val>
            <c:numRef>
              <c:f>グラフ!$K$187:$K$189</c:f>
              <c:numCache>
                <c:formatCode>#,##0_);[Red]\(#,##0\)</c:formatCode>
                <c:ptCount val="3"/>
                <c:pt idx="0">
                  <c:v>13169</c:v>
                </c:pt>
                <c:pt idx="1">
                  <c:v>15846</c:v>
                </c:pt>
                <c:pt idx="2">
                  <c:v>19476</c:v>
                </c:pt>
              </c:numCache>
            </c:numRef>
          </c:val>
        </c:ser>
        <c:dLbls>
          <c:showLegendKey val="0"/>
          <c:showVal val="0"/>
          <c:showCatName val="0"/>
          <c:showSerName val="0"/>
          <c:showPercent val="0"/>
          <c:showBubbleSize val="0"/>
        </c:dLbls>
        <c:gapWidth val="40"/>
        <c:overlap val="100"/>
        <c:serLines>
          <c:spPr>
            <a:ln w="3175">
              <a:solidFill>
                <a:srgbClr val="000000"/>
              </a:solidFill>
              <a:prstDash val="solid"/>
            </a:ln>
          </c:spPr>
        </c:serLines>
        <c:axId val="430863576"/>
        <c:axId val="430860048"/>
      </c:barChart>
      <c:catAx>
        <c:axId val="4308635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30860048"/>
        <c:crosses val="autoZero"/>
        <c:auto val="1"/>
        <c:lblAlgn val="ctr"/>
        <c:lblOffset val="100"/>
        <c:tickLblSkip val="1"/>
        <c:tickMarkSkip val="1"/>
        <c:noMultiLvlLbl val="0"/>
      </c:catAx>
      <c:valAx>
        <c:axId val="430860048"/>
        <c:scaling>
          <c:orientation val="minMax"/>
        </c:scaling>
        <c:delete val="0"/>
        <c:axPos val="l"/>
        <c:title>
          <c:tx>
            <c:rich>
              <a:bodyPr rot="-6000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7824805131987079"/>
              <c:y val="1.1574074074074073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0863576"/>
        <c:crosses val="autoZero"/>
        <c:crossBetween val="between"/>
      </c:valAx>
      <c:spPr>
        <a:noFill/>
        <a:ln w="12700">
          <a:solidFill>
            <a:srgbClr val="000000"/>
          </a:solidFill>
          <a:prstDash val="solid"/>
        </a:ln>
      </c:spPr>
    </c:plotArea>
    <c:legend>
      <c:legendPos val="b"/>
      <c:layout>
        <c:manualLayout>
          <c:xMode val="edge"/>
          <c:yMode val="edge"/>
          <c:x val="9.6676737160120832E-2"/>
          <c:y val="0.91898148148148162"/>
          <c:w val="0.89123867069486462"/>
          <c:h val="7.407407407407407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2075537727595838"/>
          <c:y val="2.1611001964636542E-2"/>
        </c:manualLayout>
      </c:layout>
      <c:overlay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4.8218128067118851E-2"/>
          <c:y val="7.269155206286837E-2"/>
          <c:w val="0.63941430697701052"/>
          <c:h val="0.86640471512770134"/>
        </c:manualLayout>
      </c:layout>
      <c:barChart>
        <c:barDir val="bar"/>
        <c:grouping val="clustered"/>
        <c:varyColors val="0"/>
        <c:ser>
          <c:idx val="0"/>
          <c:order val="0"/>
          <c:tx>
            <c:strRef>
              <c:f>グラフ!$N$186</c:f>
              <c:strCache>
                <c:ptCount val="1"/>
                <c:pt idx="0">
                  <c:v>男</c:v>
                </c:pt>
              </c:strCache>
            </c:strRef>
          </c:tx>
          <c:spPr>
            <a:pattFill prst="pct5">
              <a:fgClr>
                <a:srgbClr val="000000"/>
              </a:fgClr>
              <a:bgClr>
                <a:srgbClr val="000000"/>
              </a:bgClr>
            </a:pattFill>
            <a:ln w="12700">
              <a:solidFill>
                <a:srgbClr val="000000"/>
              </a:solidFill>
              <a:prstDash val="solid"/>
            </a:ln>
          </c:spPr>
          <c:invertIfNegative val="0"/>
          <c:cat>
            <c:strRef>
              <c:f>グラフ!$M$187:$M$287</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100歳以上</c:v>
                </c:pt>
              </c:strCache>
            </c:strRef>
          </c:cat>
          <c:val>
            <c:numRef>
              <c:f>グラフ!$N$187:$N$287</c:f>
              <c:numCache>
                <c:formatCode>General</c:formatCode>
                <c:ptCount val="101"/>
                <c:pt idx="0">
                  <c:v>668</c:v>
                </c:pt>
                <c:pt idx="1">
                  <c:v>672</c:v>
                </c:pt>
                <c:pt idx="2">
                  <c:v>676</c:v>
                </c:pt>
                <c:pt idx="3">
                  <c:v>750</c:v>
                </c:pt>
                <c:pt idx="4">
                  <c:v>681</c:v>
                </c:pt>
                <c:pt idx="5">
                  <c:v>719</c:v>
                </c:pt>
                <c:pt idx="6">
                  <c:v>717</c:v>
                </c:pt>
                <c:pt idx="7">
                  <c:v>673</c:v>
                </c:pt>
                <c:pt idx="8">
                  <c:v>727</c:v>
                </c:pt>
                <c:pt idx="9">
                  <c:v>736</c:v>
                </c:pt>
                <c:pt idx="10">
                  <c:v>661</c:v>
                </c:pt>
                <c:pt idx="11">
                  <c:v>736</c:v>
                </c:pt>
                <c:pt idx="12">
                  <c:v>748</c:v>
                </c:pt>
                <c:pt idx="13">
                  <c:v>702</c:v>
                </c:pt>
                <c:pt idx="14">
                  <c:v>776</c:v>
                </c:pt>
                <c:pt idx="15">
                  <c:v>711</c:v>
                </c:pt>
                <c:pt idx="16">
                  <c:v>753</c:v>
                </c:pt>
                <c:pt idx="17">
                  <c:v>785</c:v>
                </c:pt>
                <c:pt idx="18">
                  <c:v>676</c:v>
                </c:pt>
                <c:pt idx="19">
                  <c:v>579</c:v>
                </c:pt>
                <c:pt idx="20">
                  <c:v>559</c:v>
                </c:pt>
                <c:pt idx="21">
                  <c:v>571</c:v>
                </c:pt>
                <c:pt idx="22">
                  <c:v>570</c:v>
                </c:pt>
                <c:pt idx="23">
                  <c:v>592</c:v>
                </c:pt>
                <c:pt idx="24">
                  <c:v>617</c:v>
                </c:pt>
                <c:pt idx="25">
                  <c:v>594</c:v>
                </c:pt>
                <c:pt idx="26">
                  <c:v>601</c:v>
                </c:pt>
                <c:pt idx="27">
                  <c:v>607</c:v>
                </c:pt>
                <c:pt idx="28">
                  <c:v>686</c:v>
                </c:pt>
                <c:pt idx="29">
                  <c:v>712</c:v>
                </c:pt>
                <c:pt idx="30">
                  <c:v>701</c:v>
                </c:pt>
                <c:pt idx="31">
                  <c:v>710</c:v>
                </c:pt>
                <c:pt idx="32">
                  <c:v>748</c:v>
                </c:pt>
                <c:pt idx="33">
                  <c:v>698</c:v>
                </c:pt>
                <c:pt idx="34">
                  <c:v>711</c:v>
                </c:pt>
                <c:pt idx="35">
                  <c:v>724</c:v>
                </c:pt>
                <c:pt idx="36">
                  <c:v>757</c:v>
                </c:pt>
                <c:pt idx="37">
                  <c:v>783</c:v>
                </c:pt>
                <c:pt idx="38">
                  <c:v>766</c:v>
                </c:pt>
                <c:pt idx="39">
                  <c:v>806</c:v>
                </c:pt>
                <c:pt idx="40">
                  <c:v>908</c:v>
                </c:pt>
                <c:pt idx="41">
                  <c:v>963</c:v>
                </c:pt>
                <c:pt idx="42">
                  <c:v>927</c:v>
                </c:pt>
                <c:pt idx="43">
                  <c:v>881</c:v>
                </c:pt>
                <c:pt idx="44">
                  <c:v>854</c:v>
                </c:pt>
                <c:pt idx="45">
                  <c:v>799</c:v>
                </c:pt>
                <c:pt idx="46">
                  <c:v>836</c:v>
                </c:pt>
                <c:pt idx="47">
                  <c:v>813</c:v>
                </c:pt>
                <c:pt idx="48">
                  <c:v>806</c:v>
                </c:pt>
                <c:pt idx="49">
                  <c:v>624</c:v>
                </c:pt>
                <c:pt idx="50">
                  <c:v>700</c:v>
                </c:pt>
                <c:pt idx="51">
                  <c:v>713</c:v>
                </c:pt>
                <c:pt idx="52">
                  <c:v>703</c:v>
                </c:pt>
                <c:pt idx="53">
                  <c:v>629</c:v>
                </c:pt>
                <c:pt idx="54">
                  <c:v>718</c:v>
                </c:pt>
                <c:pt idx="55">
                  <c:v>675</c:v>
                </c:pt>
                <c:pt idx="56">
                  <c:v>691</c:v>
                </c:pt>
                <c:pt idx="57">
                  <c:v>687</c:v>
                </c:pt>
                <c:pt idx="58">
                  <c:v>621</c:v>
                </c:pt>
                <c:pt idx="59">
                  <c:v>614</c:v>
                </c:pt>
                <c:pt idx="60">
                  <c:v>655</c:v>
                </c:pt>
                <c:pt idx="61">
                  <c:v>653</c:v>
                </c:pt>
                <c:pt idx="62">
                  <c:v>689</c:v>
                </c:pt>
                <c:pt idx="63">
                  <c:v>691</c:v>
                </c:pt>
                <c:pt idx="64">
                  <c:v>686</c:v>
                </c:pt>
                <c:pt idx="65">
                  <c:v>698</c:v>
                </c:pt>
                <c:pt idx="66">
                  <c:v>655</c:v>
                </c:pt>
                <c:pt idx="67">
                  <c:v>702</c:v>
                </c:pt>
                <c:pt idx="68">
                  <c:v>557</c:v>
                </c:pt>
                <c:pt idx="69">
                  <c:v>271</c:v>
                </c:pt>
                <c:pt idx="70">
                  <c:v>297</c:v>
                </c:pt>
                <c:pt idx="71">
                  <c:v>404</c:v>
                </c:pt>
                <c:pt idx="72">
                  <c:v>396</c:v>
                </c:pt>
                <c:pt idx="73">
                  <c:v>430</c:v>
                </c:pt>
                <c:pt idx="74">
                  <c:v>446</c:v>
                </c:pt>
                <c:pt idx="75">
                  <c:v>415</c:v>
                </c:pt>
                <c:pt idx="76">
                  <c:v>387</c:v>
                </c:pt>
                <c:pt idx="77">
                  <c:v>395</c:v>
                </c:pt>
                <c:pt idx="78">
                  <c:v>343</c:v>
                </c:pt>
                <c:pt idx="79">
                  <c:v>341</c:v>
                </c:pt>
                <c:pt idx="80">
                  <c:v>297</c:v>
                </c:pt>
                <c:pt idx="81">
                  <c:v>261</c:v>
                </c:pt>
                <c:pt idx="82">
                  <c:v>264</c:v>
                </c:pt>
                <c:pt idx="83">
                  <c:v>215</c:v>
                </c:pt>
                <c:pt idx="84">
                  <c:v>140</c:v>
                </c:pt>
                <c:pt idx="85">
                  <c:v>170</c:v>
                </c:pt>
                <c:pt idx="86">
                  <c:v>121</c:v>
                </c:pt>
                <c:pt idx="87">
                  <c:v>103</c:v>
                </c:pt>
                <c:pt idx="88">
                  <c:v>76</c:v>
                </c:pt>
                <c:pt idx="89">
                  <c:v>58</c:v>
                </c:pt>
                <c:pt idx="90">
                  <c:v>42</c:v>
                </c:pt>
                <c:pt idx="91">
                  <c:v>41</c:v>
                </c:pt>
                <c:pt idx="92">
                  <c:v>41</c:v>
                </c:pt>
                <c:pt idx="93">
                  <c:v>20</c:v>
                </c:pt>
                <c:pt idx="94">
                  <c:v>18</c:v>
                </c:pt>
                <c:pt idx="95">
                  <c:v>7</c:v>
                </c:pt>
                <c:pt idx="96">
                  <c:v>10</c:v>
                </c:pt>
                <c:pt idx="97">
                  <c:v>9</c:v>
                </c:pt>
                <c:pt idx="98">
                  <c:v>0</c:v>
                </c:pt>
                <c:pt idx="99">
                  <c:v>9</c:v>
                </c:pt>
                <c:pt idx="100">
                  <c:v>10</c:v>
                </c:pt>
              </c:numCache>
            </c:numRef>
          </c:val>
        </c:ser>
        <c:dLbls>
          <c:showLegendKey val="0"/>
          <c:showVal val="0"/>
          <c:showCatName val="0"/>
          <c:showSerName val="0"/>
          <c:showPercent val="0"/>
          <c:showBubbleSize val="0"/>
        </c:dLbls>
        <c:gapWidth val="150"/>
        <c:axId val="430861616"/>
        <c:axId val="431514600"/>
      </c:barChart>
      <c:catAx>
        <c:axId val="430861616"/>
        <c:scaling>
          <c:orientation val="minMax"/>
        </c:scaling>
        <c:delete val="0"/>
        <c:axPos val="r"/>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31514600"/>
        <c:crosses val="autoZero"/>
        <c:auto val="1"/>
        <c:lblAlgn val="ctr"/>
        <c:lblOffset val="100"/>
        <c:tickLblSkip val="10"/>
        <c:tickMarkSkip val="1"/>
        <c:noMultiLvlLbl val="0"/>
      </c:catAx>
      <c:valAx>
        <c:axId val="431514600"/>
        <c:scaling>
          <c:orientation val="maxMin"/>
          <c:max val="1200"/>
        </c:scaling>
        <c:delete val="0"/>
        <c:axPos val="b"/>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30861616"/>
        <c:crosses val="autoZero"/>
        <c:crossBetween val="between"/>
        <c:majorUnit val="20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8520710059171579"/>
          <c:y val="1.7821833535630181E-2"/>
        </c:manualLayout>
      </c:layout>
      <c:overlay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6.5088757396449703E-2"/>
          <c:y val="7.1287197640003908E-2"/>
          <c:w val="0.86094674556213013"/>
          <c:h val="0.86732757128671423"/>
        </c:manualLayout>
      </c:layout>
      <c:barChart>
        <c:barDir val="bar"/>
        <c:grouping val="clustered"/>
        <c:varyColors val="0"/>
        <c:ser>
          <c:idx val="0"/>
          <c:order val="0"/>
          <c:tx>
            <c:strRef>
              <c:f>グラフ!$O$186</c:f>
              <c:strCache>
                <c:ptCount val="1"/>
                <c:pt idx="0">
                  <c:v>女</c:v>
                </c:pt>
              </c:strCache>
            </c:strRef>
          </c:tx>
          <c:spPr>
            <a:solidFill>
              <a:srgbClr val="000000"/>
            </a:solidFill>
            <a:ln w="12700">
              <a:solidFill>
                <a:srgbClr val="000000"/>
              </a:solidFill>
              <a:prstDash val="solid"/>
            </a:ln>
          </c:spPr>
          <c:invertIfNegative val="0"/>
          <c:val>
            <c:numRef>
              <c:f>グラフ!$O$187:$O$287</c:f>
              <c:numCache>
                <c:formatCode>General</c:formatCode>
                <c:ptCount val="101"/>
                <c:pt idx="0">
                  <c:v>699</c:v>
                </c:pt>
                <c:pt idx="1">
                  <c:v>646</c:v>
                </c:pt>
                <c:pt idx="2">
                  <c:v>684</c:v>
                </c:pt>
                <c:pt idx="3">
                  <c:v>711</c:v>
                </c:pt>
                <c:pt idx="4">
                  <c:v>716</c:v>
                </c:pt>
                <c:pt idx="5">
                  <c:v>678</c:v>
                </c:pt>
                <c:pt idx="6">
                  <c:v>682</c:v>
                </c:pt>
                <c:pt idx="7">
                  <c:v>715</c:v>
                </c:pt>
                <c:pt idx="8">
                  <c:v>668</c:v>
                </c:pt>
                <c:pt idx="9">
                  <c:v>691</c:v>
                </c:pt>
                <c:pt idx="10">
                  <c:v>595</c:v>
                </c:pt>
                <c:pt idx="11">
                  <c:v>670</c:v>
                </c:pt>
                <c:pt idx="12">
                  <c:v>680</c:v>
                </c:pt>
                <c:pt idx="13">
                  <c:v>696</c:v>
                </c:pt>
                <c:pt idx="14">
                  <c:v>737</c:v>
                </c:pt>
                <c:pt idx="15">
                  <c:v>744</c:v>
                </c:pt>
                <c:pt idx="16">
                  <c:v>730</c:v>
                </c:pt>
                <c:pt idx="17">
                  <c:v>710</c:v>
                </c:pt>
                <c:pt idx="18">
                  <c:v>657</c:v>
                </c:pt>
                <c:pt idx="19">
                  <c:v>559</c:v>
                </c:pt>
                <c:pt idx="20">
                  <c:v>605</c:v>
                </c:pt>
                <c:pt idx="21">
                  <c:v>556</c:v>
                </c:pt>
                <c:pt idx="22">
                  <c:v>593</c:v>
                </c:pt>
                <c:pt idx="23">
                  <c:v>588</c:v>
                </c:pt>
                <c:pt idx="24">
                  <c:v>586</c:v>
                </c:pt>
                <c:pt idx="25">
                  <c:v>601</c:v>
                </c:pt>
                <c:pt idx="26">
                  <c:v>616</c:v>
                </c:pt>
                <c:pt idx="27">
                  <c:v>648</c:v>
                </c:pt>
                <c:pt idx="28">
                  <c:v>669</c:v>
                </c:pt>
                <c:pt idx="29">
                  <c:v>728</c:v>
                </c:pt>
                <c:pt idx="30">
                  <c:v>754</c:v>
                </c:pt>
                <c:pt idx="31">
                  <c:v>793</c:v>
                </c:pt>
                <c:pt idx="32">
                  <c:v>773</c:v>
                </c:pt>
                <c:pt idx="33">
                  <c:v>746</c:v>
                </c:pt>
                <c:pt idx="34">
                  <c:v>761</c:v>
                </c:pt>
                <c:pt idx="35">
                  <c:v>779</c:v>
                </c:pt>
                <c:pt idx="36">
                  <c:v>806</c:v>
                </c:pt>
                <c:pt idx="37">
                  <c:v>826</c:v>
                </c:pt>
                <c:pt idx="38">
                  <c:v>836</c:v>
                </c:pt>
                <c:pt idx="39">
                  <c:v>868</c:v>
                </c:pt>
                <c:pt idx="40">
                  <c:v>906</c:v>
                </c:pt>
                <c:pt idx="41" formatCode="#,##0">
                  <c:v>1016</c:v>
                </c:pt>
                <c:pt idx="42">
                  <c:v>973</c:v>
                </c:pt>
                <c:pt idx="43">
                  <c:v>913</c:v>
                </c:pt>
                <c:pt idx="44">
                  <c:v>885</c:v>
                </c:pt>
                <c:pt idx="45">
                  <c:v>861</c:v>
                </c:pt>
                <c:pt idx="46">
                  <c:v>843</c:v>
                </c:pt>
                <c:pt idx="47">
                  <c:v>886</c:v>
                </c:pt>
                <c:pt idx="48">
                  <c:v>840</c:v>
                </c:pt>
                <c:pt idx="49">
                  <c:v>687</c:v>
                </c:pt>
                <c:pt idx="50">
                  <c:v>749</c:v>
                </c:pt>
                <c:pt idx="51">
                  <c:v>737</c:v>
                </c:pt>
                <c:pt idx="52">
                  <c:v>796</c:v>
                </c:pt>
                <c:pt idx="53">
                  <c:v>714</c:v>
                </c:pt>
                <c:pt idx="54">
                  <c:v>746</c:v>
                </c:pt>
                <c:pt idx="55">
                  <c:v>691</c:v>
                </c:pt>
                <c:pt idx="56">
                  <c:v>686</c:v>
                </c:pt>
                <c:pt idx="57">
                  <c:v>647</c:v>
                </c:pt>
                <c:pt idx="58">
                  <c:v>675</c:v>
                </c:pt>
                <c:pt idx="59">
                  <c:v>639</c:v>
                </c:pt>
                <c:pt idx="60">
                  <c:v>697</c:v>
                </c:pt>
                <c:pt idx="61">
                  <c:v>733</c:v>
                </c:pt>
                <c:pt idx="62">
                  <c:v>706</c:v>
                </c:pt>
                <c:pt idx="63">
                  <c:v>756</c:v>
                </c:pt>
                <c:pt idx="64">
                  <c:v>759</c:v>
                </c:pt>
                <c:pt idx="65">
                  <c:v>733</c:v>
                </c:pt>
                <c:pt idx="66">
                  <c:v>671</c:v>
                </c:pt>
                <c:pt idx="67">
                  <c:v>721</c:v>
                </c:pt>
                <c:pt idx="68">
                  <c:v>564</c:v>
                </c:pt>
                <c:pt idx="69">
                  <c:v>291</c:v>
                </c:pt>
                <c:pt idx="70">
                  <c:v>338</c:v>
                </c:pt>
                <c:pt idx="71">
                  <c:v>453</c:v>
                </c:pt>
                <c:pt idx="72">
                  <c:v>455</c:v>
                </c:pt>
                <c:pt idx="73">
                  <c:v>474</c:v>
                </c:pt>
                <c:pt idx="74">
                  <c:v>504</c:v>
                </c:pt>
                <c:pt idx="75">
                  <c:v>476</c:v>
                </c:pt>
                <c:pt idx="76">
                  <c:v>446</c:v>
                </c:pt>
                <c:pt idx="77">
                  <c:v>429</c:v>
                </c:pt>
                <c:pt idx="78">
                  <c:v>430</c:v>
                </c:pt>
                <c:pt idx="79">
                  <c:v>440</c:v>
                </c:pt>
                <c:pt idx="80">
                  <c:v>373</c:v>
                </c:pt>
                <c:pt idx="81">
                  <c:v>407</c:v>
                </c:pt>
                <c:pt idx="82">
                  <c:v>321</c:v>
                </c:pt>
                <c:pt idx="83">
                  <c:v>312</c:v>
                </c:pt>
                <c:pt idx="84">
                  <c:v>259</c:v>
                </c:pt>
                <c:pt idx="85">
                  <c:v>238</c:v>
                </c:pt>
                <c:pt idx="86">
                  <c:v>234</c:v>
                </c:pt>
                <c:pt idx="87">
                  <c:v>218</c:v>
                </c:pt>
                <c:pt idx="88">
                  <c:v>169</c:v>
                </c:pt>
                <c:pt idx="89">
                  <c:v>178</c:v>
                </c:pt>
                <c:pt idx="90">
                  <c:v>129</c:v>
                </c:pt>
                <c:pt idx="91">
                  <c:v>103</c:v>
                </c:pt>
                <c:pt idx="92">
                  <c:v>104</c:v>
                </c:pt>
                <c:pt idx="93">
                  <c:v>83</c:v>
                </c:pt>
                <c:pt idx="94">
                  <c:v>60</c:v>
                </c:pt>
                <c:pt idx="95">
                  <c:v>54</c:v>
                </c:pt>
                <c:pt idx="96">
                  <c:v>56</c:v>
                </c:pt>
                <c:pt idx="97">
                  <c:v>23</c:v>
                </c:pt>
                <c:pt idx="98">
                  <c:v>26</c:v>
                </c:pt>
                <c:pt idx="99">
                  <c:v>27</c:v>
                </c:pt>
                <c:pt idx="100">
                  <c:v>28</c:v>
                </c:pt>
              </c:numCache>
            </c:numRef>
          </c:val>
        </c:ser>
        <c:dLbls>
          <c:showLegendKey val="0"/>
          <c:showVal val="0"/>
          <c:showCatName val="0"/>
          <c:showSerName val="0"/>
          <c:showPercent val="0"/>
          <c:showBubbleSize val="0"/>
        </c:dLbls>
        <c:gapWidth val="150"/>
        <c:axId val="431514992"/>
        <c:axId val="431512248"/>
      </c:barChart>
      <c:catAx>
        <c:axId val="431514992"/>
        <c:scaling>
          <c:orientation val="minMax"/>
        </c:scaling>
        <c:delete val="1"/>
        <c:axPos val="l"/>
        <c:majorTickMark val="out"/>
        <c:minorTickMark val="none"/>
        <c:tickLblPos val="none"/>
        <c:crossAx val="431512248"/>
        <c:crosses val="autoZero"/>
        <c:auto val="1"/>
        <c:lblAlgn val="ctr"/>
        <c:lblOffset val="100"/>
        <c:noMultiLvlLbl val="0"/>
      </c:catAx>
      <c:valAx>
        <c:axId val="431512248"/>
        <c:scaling>
          <c:orientation val="minMax"/>
          <c:max val="1200"/>
        </c:scaling>
        <c:delete val="0"/>
        <c:axPos val="b"/>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31514992"/>
        <c:crosses val="autoZero"/>
        <c:crossBetween val="between"/>
        <c:majorUnit val="200"/>
      </c:valAx>
      <c:spPr>
        <a:noFill/>
        <a:ln w="12700">
          <a:solidFill>
            <a:srgbClr val="000000"/>
          </a:solidFill>
          <a:prstDash val="solid"/>
        </a:ln>
      </c:spPr>
    </c:plotArea>
    <c:plotVisOnly val="1"/>
    <c:dispBlanksAs val="gap"/>
    <c:showDLblsOverMax val="0"/>
  </c:chart>
  <c:spPr>
    <a:noFill/>
    <a:ln w="9525">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04096158801262"/>
          <c:y val="4.1269969214934317E-2"/>
          <c:w val="0.83965134106707395"/>
          <c:h val="0.91428854876161159"/>
        </c:manualLayout>
      </c:layout>
      <c:doughnutChart>
        <c:varyColors val="1"/>
        <c:ser>
          <c:idx val="0"/>
          <c:order val="0"/>
          <c:spPr>
            <a:solidFill>
              <a:srgbClr val="9999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10">
                <a:fgClr>
                  <a:srgbClr val="000000"/>
                </a:fgClr>
                <a:bgClr>
                  <a:srgbClr val="FFFFFF"/>
                </a:bgClr>
              </a:pattFill>
              <a:ln w="12700">
                <a:solidFill>
                  <a:srgbClr val="000000"/>
                </a:solidFill>
                <a:prstDash val="solid"/>
              </a:ln>
            </c:spPr>
          </c:dPt>
          <c:dPt>
            <c:idx val="2"/>
            <c:bubble3D val="0"/>
            <c:spPr>
              <a:pattFill prst="pct75">
                <a:fgClr>
                  <a:srgbClr val="000000"/>
                </a:fgClr>
                <a:bgClr>
                  <a:srgbClr val="FFFFFF"/>
                </a:bgClr>
              </a:pattFill>
              <a:ln w="12700">
                <a:solidFill>
                  <a:srgbClr val="000000"/>
                </a:solidFill>
                <a:prstDash val="solid"/>
              </a:ln>
            </c:spPr>
          </c:dPt>
          <c:dLbls>
            <c:dLbl>
              <c:idx val="0"/>
              <c:layout>
                <c:manualLayout>
                  <c:x val="9.2963889717867215E-3"/>
                  <c:y val="1.3337332833395818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歳未満</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18%</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3.8202717228841616E-2"/>
                  <c:y val="-4.8639097793964775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64</a:t>
                    </a:r>
                    <a:r>
                      <a:rPr lang="ja-JP" altLang="en-US" sz="900" b="0" i="0" u="none" strike="noStrike" baseline="0">
                        <a:solidFill>
                          <a:srgbClr val="000000"/>
                        </a:solidFill>
                        <a:latin typeface="ＭＳ Ｐゴシック"/>
                        <a:ea typeface="ＭＳ Ｐゴシック"/>
                      </a:rPr>
                      <a:t>歳　 </a:t>
                    </a:r>
                    <a:r>
                      <a:rPr lang="en-US" altLang="ja-JP" sz="900" b="0" i="0" u="none" strike="noStrike" baseline="0">
                        <a:solidFill>
                          <a:srgbClr val="000000"/>
                        </a:solidFill>
                        <a:latin typeface="ＭＳ Ｐゴシック"/>
                        <a:ea typeface="ＭＳ Ｐゴシック"/>
                      </a:rPr>
                      <a:t>63%</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2"/>
              <c:layout>
                <c:manualLayout>
                  <c:x val="-5.9123221842169371E-3"/>
                  <c:y val="8.5595967170773099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r>
                      <a:rPr lang="ja-JP" altLang="en-US" sz="900" b="0" i="0" u="none" strike="noStrike" baseline="0">
                        <a:solidFill>
                          <a:srgbClr val="000000"/>
                        </a:solidFill>
                        <a:latin typeface="ＭＳ Ｐゴシック"/>
                        <a:ea typeface="ＭＳ Ｐゴシック"/>
                      </a:rPr>
                      <a:t>歳以上</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19%</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numFmt formatCode="#,##0_);[Red]\(#,##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howLeaderLines val="0"/>
            <c:extLst>
              <c:ext xmlns:c15="http://schemas.microsoft.com/office/drawing/2012/chart" uri="{CE6537A1-D6FC-4f65-9D91-7224C49458BB}"/>
            </c:extLst>
          </c:dLbls>
          <c:cat>
            <c:strRef>
              <c:f>グラフ!$H$44:$H$46</c:f>
              <c:strCache>
                <c:ptCount val="3"/>
                <c:pt idx="0">
                  <c:v>15歳未満</c:v>
                </c:pt>
                <c:pt idx="1">
                  <c:v>15～64歳</c:v>
                </c:pt>
                <c:pt idx="2">
                  <c:v>65歳以上</c:v>
                </c:pt>
              </c:strCache>
            </c:strRef>
          </c:cat>
          <c:val>
            <c:numRef>
              <c:f>グラフ!$I$44:$I$46</c:f>
              <c:numCache>
                <c:formatCode>#,##0_);[Red]\(#,##0\)</c:formatCode>
                <c:ptCount val="3"/>
                <c:pt idx="0">
                  <c:v>10180</c:v>
                </c:pt>
                <c:pt idx="1">
                  <c:v>37083</c:v>
                </c:pt>
                <c:pt idx="2">
                  <c:v>11287</c:v>
                </c:pt>
              </c:numCache>
            </c:numRef>
          </c:val>
        </c:ser>
        <c:dLbls>
          <c:showLegendKey val="0"/>
          <c:showVal val="0"/>
          <c:showCatName val="1"/>
          <c:showSerName val="0"/>
          <c:showPercent val="1"/>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20546608101516E-2"/>
          <c:y val="7.6530612244897961E-2"/>
          <c:w val="0.85993167398731085"/>
          <c:h val="0.72193877551020413"/>
        </c:manualLayout>
      </c:layout>
      <c:lineChart>
        <c:grouping val="standard"/>
        <c:varyColors val="0"/>
        <c:ser>
          <c:idx val="1"/>
          <c:order val="0"/>
          <c:tx>
            <c:strRef>
              <c:f>グラフ!$I$80</c:f>
              <c:strCache>
                <c:ptCount val="1"/>
                <c:pt idx="0">
                  <c:v>人口増加</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dLbl>
              <c:idx val="0"/>
              <c:layout>
                <c:manualLayout>
                  <c:x val="-2.5378233284529039E-2"/>
                  <c:y val="3.492063492063492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4.0829749868382122E-2"/>
                  <c:y val="5.825396825396822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4.1483650561249391E-2"/>
                  <c:y val="3.285714285714273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numFmt formatCode="#,##0_ " sourceLinked="0"/>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グラフ!$H$81:$H$91</c:f>
              <c:strCache>
                <c:ptCount val="11"/>
                <c:pt idx="0">
                  <c:v>平成18年</c:v>
                </c:pt>
                <c:pt idx="1">
                  <c:v>19</c:v>
                </c:pt>
                <c:pt idx="2">
                  <c:v>20</c:v>
                </c:pt>
                <c:pt idx="3">
                  <c:v>21</c:v>
                </c:pt>
                <c:pt idx="4">
                  <c:v>22</c:v>
                </c:pt>
                <c:pt idx="5">
                  <c:v>23</c:v>
                </c:pt>
                <c:pt idx="6">
                  <c:v>24</c:v>
                </c:pt>
                <c:pt idx="7">
                  <c:v>25</c:v>
                </c:pt>
                <c:pt idx="8">
                  <c:v>26</c:v>
                </c:pt>
                <c:pt idx="9">
                  <c:v>27</c:v>
                </c:pt>
                <c:pt idx="10">
                  <c:v>平成28年</c:v>
                </c:pt>
              </c:strCache>
            </c:strRef>
          </c:cat>
          <c:val>
            <c:numRef>
              <c:f>グラフ!$I$81:$I$91</c:f>
              <c:numCache>
                <c:formatCode>0_ </c:formatCode>
                <c:ptCount val="11"/>
                <c:pt idx="0">
                  <c:v>874</c:v>
                </c:pt>
                <c:pt idx="1">
                  <c:v>786</c:v>
                </c:pt>
                <c:pt idx="2">
                  <c:v>689</c:v>
                </c:pt>
                <c:pt idx="3">
                  <c:v>883</c:v>
                </c:pt>
                <c:pt idx="4">
                  <c:v>657</c:v>
                </c:pt>
                <c:pt idx="5">
                  <c:v>727</c:v>
                </c:pt>
                <c:pt idx="6">
                  <c:v>1573</c:v>
                </c:pt>
                <c:pt idx="7">
                  <c:v>494</c:v>
                </c:pt>
                <c:pt idx="8">
                  <c:v>28</c:v>
                </c:pt>
                <c:pt idx="9">
                  <c:v>-80</c:v>
                </c:pt>
                <c:pt idx="10">
                  <c:v>152</c:v>
                </c:pt>
              </c:numCache>
            </c:numRef>
          </c:val>
          <c:smooth val="0"/>
        </c:ser>
        <c:ser>
          <c:idx val="2"/>
          <c:order val="1"/>
          <c:tx>
            <c:strRef>
              <c:f>グラフ!$J$80</c:f>
              <c:strCache>
                <c:ptCount val="1"/>
                <c:pt idx="0">
                  <c:v>自然増加</c:v>
                </c:pt>
              </c:strCache>
            </c:strRef>
          </c:tx>
          <c:spPr>
            <a:ln w="12700">
              <a:solidFill>
                <a:srgbClr val="000000"/>
              </a:solidFill>
              <a:prstDash val="solid"/>
            </a:ln>
          </c:spPr>
          <c:marker>
            <c:symbol val="triangle"/>
            <c:size val="8"/>
            <c:spPr>
              <a:solidFill>
                <a:srgbClr val="FFFFFF"/>
              </a:solidFill>
              <a:ln>
                <a:solidFill>
                  <a:srgbClr val="000000"/>
                </a:solidFill>
                <a:prstDash val="solid"/>
              </a:ln>
            </c:spPr>
          </c:marker>
          <c:dLbls>
            <c:dLbl>
              <c:idx val="0"/>
              <c:layout>
                <c:manualLayout>
                  <c:x val="-3.0746705710102497E-2"/>
                  <c:y val="-4.23809523809523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グラフ!$H$81:$H$91</c:f>
              <c:strCache>
                <c:ptCount val="11"/>
                <c:pt idx="0">
                  <c:v>平成18年</c:v>
                </c:pt>
                <c:pt idx="1">
                  <c:v>19</c:v>
                </c:pt>
                <c:pt idx="2">
                  <c:v>20</c:v>
                </c:pt>
                <c:pt idx="3">
                  <c:v>21</c:v>
                </c:pt>
                <c:pt idx="4">
                  <c:v>22</c:v>
                </c:pt>
                <c:pt idx="5">
                  <c:v>23</c:v>
                </c:pt>
                <c:pt idx="6">
                  <c:v>24</c:v>
                </c:pt>
                <c:pt idx="7">
                  <c:v>25</c:v>
                </c:pt>
                <c:pt idx="8">
                  <c:v>26</c:v>
                </c:pt>
                <c:pt idx="9">
                  <c:v>27</c:v>
                </c:pt>
                <c:pt idx="10">
                  <c:v>平成28年</c:v>
                </c:pt>
              </c:strCache>
            </c:strRef>
          </c:cat>
          <c:val>
            <c:numRef>
              <c:f>グラフ!$J$81:$J$91</c:f>
              <c:numCache>
                <c:formatCode>#,##0_);[Red]\(#,##0\)</c:formatCode>
                <c:ptCount val="11"/>
                <c:pt idx="0">
                  <c:v>1022</c:v>
                </c:pt>
                <c:pt idx="1">
                  <c:v>908</c:v>
                </c:pt>
                <c:pt idx="2">
                  <c:v>957</c:v>
                </c:pt>
                <c:pt idx="3">
                  <c:v>967</c:v>
                </c:pt>
                <c:pt idx="4">
                  <c:v>853</c:v>
                </c:pt>
                <c:pt idx="5">
                  <c:v>859</c:v>
                </c:pt>
                <c:pt idx="6">
                  <c:v>899</c:v>
                </c:pt>
                <c:pt idx="7">
                  <c:v>812</c:v>
                </c:pt>
                <c:pt idx="8">
                  <c:v>720</c:v>
                </c:pt>
                <c:pt idx="9">
                  <c:v>746</c:v>
                </c:pt>
                <c:pt idx="10" formatCode="0_ ">
                  <c:v>620</c:v>
                </c:pt>
              </c:numCache>
            </c:numRef>
          </c:val>
          <c:smooth val="0"/>
        </c:ser>
        <c:ser>
          <c:idx val="3"/>
          <c:order val="2"/>
          <c:tx>
            <c:strRef>
              <c:f>グラフ!$K$80</c:f>
              <c:strCache>
                <c:ptCount val="1"/>
                <c:pt idx="0">
                  <c:v>社会増加</c:v>
                </c:pt>
              </c:strCache>
            </c:strRef>
          </c:tx>
          <c:spPr>
            <a:ln w="12700">
              <a:solidFill>
                <a:srgbClr val="000000"/>
              </a:solidFill>
              <a:prstDash val="solid"/>
            </a:ln>
          </c:spPr>
          <c:marker>
            <c:symbol val="circle"/>
            <c:size val="8"/>
            <c:spPr>
              <a:solidFill>
                <a:srgbClr val="000000"/>
              </a:solidFill>
              <a:ln>
                <a:solidFill>
                  <a:srgbClr val="000000"/>
                </a:solidFill>
                <a:prstDash val="solid"/>
              </a:ln>
            </c:spPr>
          </c:marker>
          <c:dLbls>
            <c:dLbl>
              <c:idx val="0"/>
              <c:layout>
                <c:manualLayout>
                  <c:x val="-1.7569546120058566E-2"/>
                  <c:y val="2.857142857142857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709126403123475E-2"/>
                  <c:y val="3.920634920634920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3.6603221083455484E-2"/>
                  <c:y val="6.777777777777778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6.6373840897999026E-2"/>
                  <c:y val="2.333333333333333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4.0995607613469986E-2"/>
                  <c:y val="3.603174603174603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グラフ!$H$81:$H$91</c:f>
              <c:strCache>
                <c:ptCount val="11"/>
                <c:pt idx="0">
                  <c:v>平成18年</c:v>
                </c:pt>
                <c:pt idx="1">
                  <c:v>19</c:v>
                </c:pt>
                <c:pt idx="2">
                  <c:v>20</c:v>
                </c:pt>
                <c:pt idx="3">
                  <c:v>21</c:v>
                </c:pt>
                <c:pt idx="4">
                  <c:v>22</c:v>
                </c:pt>
                <c:pt idx="5">
                  <c:v>23</c:v>
                </c:pt>
                <c:pt idx="6">
                  <c:v>24</c:v>
                </c:pt>
                <c:pt idx="7">
                  <c:v>25</c:v>
                </c:pt>
                <c:pt idx="8">
                  <c:v>26</c:v>
                </c:pt>
                <c:pt idx="9">
                  <c:v>27</c:v>
                </c:pt>
                <c:pt idx="10">
                  <c:v>平成28年</c:v>
                </c:pt>
              </c:strCache>
            </c:strRef>
          </c:cat>
          <c:val>
            <c:numRef>
              <c:f>グラフ!$K$81:$K$91</c:f>
              <c:numCache>
                <c:formatCode>#,##0_ </c:formatCode>
                <c:ptCount val="11"/>
                <c:pt idx="0">
                  <c:v>-148</c:v>
                </c:pt>
                <c:pt idx="1">
                  <c:v>-122</c:v>
                </c:pt>
                <c:pt idx="2">
                  <c:v>-268</c:v>
                </c:pt>
                <c:pt idx="3">
                  <c:v>-84</c:v>
                </c:pt>
                <c:pt idx="4">
                  <c:v>-196</c:v>
                </c:pt>
                <c:pt idx="5">
                  <c:v>-132</c:v>
                </c:pt>
                <c:pt idx="6">
                  <c:v>674</c:v>
                </c:pt>
                <c:pt idx="7">
                  <c:v>-318</c:v>
                </c:pt>
                <c:pt idx="8">
                  <c:v>-692</c:v>
                </c:pt>
                <c:pt idx="9">
                  <c:v>-826</c:v>
                </c:pt>
                <c:pt idx="10" formatCode="0_ ">
                  <c:v>-468</c:v>
                </c:pt>
              </c:numCache>
            </c:numRef>
          </c:val>
          <c:smooth val="0"/>
        </c:ser>
        <c:dLbls>
          <c:showLegendKey val="0"/>
          <c:showVal val="1"/>
          <c:showCatName val="0"/>
          <c:showSerName val="0"/>
          <c:showPercent val="0"/>
          <c:showBubbleSize val="0"/>
        </c:dLbls>
        <c:marker val="1"/>
        <c:smooth val="0"/>
        <c:axId val="246997504"/>
        <c:axId val="246997112"/>
      </c:lineChart>
      <c:catAx>
        <c:axId val="2469975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6997112"/>
        <c:crossesAt val="-1000"/>
        <c:auto val="1"/>
        <c:lblAlgn val="ctr"/>
        <c:lblOffset val="100"/>
        <c:tickLblSkip val="1"/>
        <c:tickMarkSkip val="1"/>
        <c:noMultiLvlLbl val="0"/>
      </c:catAx>
      <c:valAx>
        <c:axId val="246997112"/>
        <c:scaling>
          <c:orientation val="minMax"/>
        </c:scaling>
        <c:delete val="0"/>
        <c:axPos val="l"/>
        <c:majorGridlines>
          <c:spPr>
            <a:ln w="3175">
              <a:solidFill>
                <a:srgbClr val="000000"/>
              </a:solidFill>
              <a:prstDash val="sysDash"/>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8.638360175695349E-2"/>
              <c:y val="2.2278965129359247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6997504"/>
        <c:crosses val="autoZero"/>
        <c:crossBetween val="midCat"/>
      </c:valAx>
      <c:spPr>
        <a:noFill/>
        <a:ln w="12700">
          <a:solidFill>
            <a:srgbClr val="000000"/>
          </a:solidFill>
          <a:prstDash val="solid"/>
        </a:ln>
      </c:spPr>
    </c:plotArea>
    <c:legend>
      <c:legendPos val="b"/>
      <c:layout>
        <c:manualLayout>
          <c:xMode val="edge"/>
          <c:yMode val="edge"/>
          <c:x val="0.26354319180087848"/>
          <c:y val="0.90000199975003059"/>
          <c:w val="0.49194729136164522"/>
          <c:h val="7.142882139732553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81531001994338"/>
          <c:y val="9.477021688078463E-2"/>
          <c:w val="0.81513944109841463"/>
          <c:h val="0.71292300041442991"/>
        </c:manualLayout>
      </c:layout>
      <c:lineChart>
        <c:grouping val="standard"/>
        <c:varyColors val="0"/>
        <c:ser>
          <c:idx val="0"/>
          <c:order val="0"/>
          <c:tx>
            <c:strRef>
              <c:f>グラフ!$I$93</c:f>
              <c:strCache>
                <c:ptCount val="1"/>
                <c:pt idx="0">
                  <c:v>出生</c:v>
                </c:pt>
              </c:strCache>
            </c:strRef>
          </c:tx>
          <c:spPr>
            <a:ln w="12700">
              <a:solidFill>
                <a:srgbClr val="000000"/>
              </a:solidFill>
              <a:prstDash val="solid"/>
            </a:ln>
          </c:spPr>
          <c:marker>
            <c:symbol val="x"/>
            <c:size val="5"/>
            <c:spPr>
              <a:solidFill>
                <a:srgbClr val="000000"/>
              </a:solidFill>
              <a:ln>
                <a:solidFill>
                  <a:srgbClr val="000000"/>
                </a:solidFill>
                <a:prstDash val="solid"/>
              </a:ln>
            </c:spPr>
          </c:marker>
          <c:dLbls>
            <c:dLbl>
              <c:idx val="0"/>
              <c:layout>
                <c:manualLayout>
                  <c:x val="-5.5555555555555558E-3"/>
                  <c:y val="3.258655804480651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5.6324146981627299E-2"/>
                  <c:y val="2.946367956551259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グラフ!$H$94:$H$104</c:f>
              <c:strCache>
                <c:ptCount val="11"/>
                <c:pt idx="0">
                  <c:v>平成18年</c:v>
                </c:pt>
                <c:pt idx="1">
                  <c:v>19</c:v>
                </c:pt>
                <c:pt idx="2">
                  <c:v>20</c:v>
                </c:pt>
                <c:pt idx="3">
                  <c:v>21</c:v>
                </c:pt>
                <c:pt idx="4">
                  <c:v>22</c:v>
                </c:pt>
                <c:pt idx="5">
                  <c:v>23</c:v>
                </c:pt>
                <c:pt idx="6">
                  <c:v>24</c:v>
                </c:pt>
                <c:pt idx="7">
                  <c:v>25</c:v>
                </c:pt>
                <c:pt idx="8">
                  <c:v>26</c:v>
                </c:pt>
                <c:pt idx="9">
                  <c:v>27</c:v>
                </c:pt>
                <c:pt idx="10">
                  <c:v>平成28年</c:v>
                </c:pt>
              </c:strCache>
            </c:strRef>
          </c:cat>
          <c:val>
            <c:numRef>
              <c:f>グラフ!$I$94:$I$104</c:f>
              <c:numCache>
                <c:formatCode>#,##0_);[Red]\(#,##0\)</c:formatCode>
                <c:ptCount val="11"/>
                <c:pt idx="0">
                  <c:v>1525</c:v>
                </c:pt>
                <c:pt idx="1">
                  <c:v>1503</c:v>
                </c:pt>
                <c:pt idx="2">
                  <c:v>1516</c:v>
                </c:pt>
                <c:pt idx="3">
                  <c:v>1544</c:v>
                </c:pt>
                <c:pt idx="4">
                  <c:v>1507</c:v>
                </c:pt>
                <c:pt idx="5">
                  <c:v>1542</c:v>
                </c:pt>
                <c:pt idx="6">
                  <c:v>1540</c:v>
                </c:pt>
                <c:pt idx="7">
                  <c:v>1452</c:v>
                </c:pt>
                <c:pt idx="8">
                  <c:v>1391</c:v>
                </c:pt>
                <c:pt idx="9">
                  <c:v>1433</c:v>
                </c:pt>
                <c:pt idx="10">
                  <c:v>1350</c:v>
                </c:pt>
              </c:numCache>
            </c:numRef>
          </c:val>
          <c:smooth val="0"/>
        </c:ser>
        <c:ser>
          <c:idx val="1"/>
          <c:order val="1"/>
          <c:tx>
            <c:strRef>
              <c:f>グラフ!$J$93</c:f>
              <c:strCache>
                <c:ptCount val="1"/>
                <c:pt idx="0">
                  <c:v>死亡</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dLbls>
            <c:dLbl>
              <c:idx val="0"/>
              <c:layout>
                <c:manualLayout>
                  <c:x val="-1.8518518518518543E-3"/>
                  <c:y val="3.258655804480641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1018518518518518E-2"/>
                  <c:y val="2.81059063136456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4.9537037037037157E-2"/>
                  <c:y val="3.89680923285811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グラフ!$H$94:$H$104</c:f>
              <c:strCache>
                <c:ptCount val="11"/>
                <c:pt idx="0">
                  <c:v>平成18年</c:v>
                </c:pt>
                <c:pt idx="1">
                  <c:v>19</c:v>
                </c:pt>
                <c:pt idx="2">
                  <c:v>20</c:v>
                </c:pt>
                <c:pt idx="3">
                  <c:v>21</c:v>
                </c:pt>
                <c:pt idx="4">
                  <c:v>22</c:v>
                </c:pt>
                <c:pt idx="5">
                  <c:v>23</c:v>
                </c:pt>
                <c:pt idx="6">
                  <c:v>24</c:v>
                </c:pt>
                <c:pt idx="7">
                  <c:v>25</c:v>
                </c:pt>
                <c:pt idx="8">
                  <c:v>26</c:v>
                </c:pt>
                <c:pt idx="9">
                  <c:v>27</c:v>
                </c:pt>
                <c:pt idx="10">
                  <c:v>平成28年</c:v>
                </c:pt>
              </c:strCache>
            </c:strRef>
          </c:cat>
          <c:val>
            <c:numRef>
              <c:f>グラフ!$J$94:$J$104</c:f>
              <c:numCache>
                <c:formatCode>#,##0_);[Red]\(#,##0\)</c:formatCode>
                <c:ptCount val="11"/>
                <c:pt idx="0">
                  <c:v>503</c:v>
                </c:pt>
                <c:pt idx="1">
                  <c:v>595</c:v>
                </c:pt>
                <c:pt idx="2">
                  <c:v>559</c:v>
                </c:pt>
                <c:pt idx="3">
                  <c:v>577</c:v>
                </c:pt>
                <c:pt idx="4">
                  <c:v>654</c:v>
                </c:pt>
                <c:pt idx="5">
                  <c:v>683</c:v>
                </c:pt>
                <c:pt idx="6">
                  <c:v>641</c:v>
                </c:pt>
                <c:pt idx="7">
                  <c:v>640</c:v>
                </c:pt>
                <c:pt idx="8">
                  <c:v>671</c:v>
                </c:pt>
                <c:pt idx="9">
                  <c:v>687</c:v>
                </c:pt>
                <c:pt idx="10">
                  <c:v>730</c:v>
                </c:pt>
              </c:numCache>
            </c:numRef>
          </c:val>
          <c:smooth val="0"/>
        </c:ser>
        <c:ser>
          <c:idx val="2"/>
          <c:order val="2"/>
          <c:tx>
            <c:strRef>
              <c:f>グラフ!$K$93</c:f>
              <c:strCache>
                <c:ptCount val="1"/>
                <c:pt idx="0">
                  <c:v>転入</c:v>
                </c:pt>
              </c:strCache>
            </c:strRef>
          </c:tx>
          <c:spPr>
            <a:ln w="12700">
              <a:solidFill>
                <a:srgbClr val="000000"/>
              </a:solidFill>
              <a:prstDash val="solid"/>
            </a:ln>
          </c:spPr>
          <c:marker>
            <c:symbol val="diamond"/>
            <c:size val="9"/>
            <c:spPr>
              <a:solidFill>
                <a:srgbClr val="000000"/>
              </a:solidFill>
              <a:ln>
                <a:solidFill>
                  <a:srgbClr val="000000"/>
                </a:solidFill>
                <a:prstDash val="solid"/>
              </a:ln>
            </c:spPr>
          </c:marker>
          <c:dLbls>
            <c:dLbl>
              <c:idx val="0"/>
              <c:layout>
                <c:manualLayout>
                  <c:x val="-1.5583406240886591E-2"/>
                  <c:y val="4.032586558044806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3.7805628463108844E-2"/>
                  <c:y val="4.847250509164967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3.4101924759405072E-2"/>
                  <c:y val="2.13170400543109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グラフ!$H$94:$H$104</c:f>
              <c:strCache>
                <c:ptCount val="11"/>
                <c:pt idx="0">
                  <c:v>平成18年</c:v>
                </c:pt>
                <c:pt idx="1">
                  <c:v>19</c:v>
                </c:pt>
                <c:pt idx="2">
                  <c:v>20</c:v>
                </c:pt>
                <c:pt idx="3">
                  <c:v>21</c:v>
                </c:pt>
                <c:pt idx="4">
                  <c:v>22</c:v>
                </c:pt>
                <c:pt idx="5">
                  <c:v>23</c:v>
                </c:pt>
                <c:pt idx="6">
                  <c:v>24</c:v>
                </c:pt>
                <c:pt idx="7">
                  <c:v>25</c:v>
                </c:pt>
                <c:pt idx="8">
                  <c:v>26</c:v>
                </c:pt>
                <c:pt idx="9">
                  <c:v>27</c:v>
                </c:pt>
                <c:pt idx="10">
                  <c:v>平成28年</c:v>
                </c:pt>
              </c:strCache>
            </c:strRef>
          </c:cat>
          <c:val>
            <c:numRef>
              <c:f>グラフ!$K$94:$K$104</c:f>
              <c:numCache>
                <c:formatCode>#,##0_);[Red]\(#,##0\)</c:formatCode>
                <c:ptCount val="11"/>
                <c:pt idx="0">
                  <c:v>6144</c:v>
                </c:pt>
                <c:pt idx="1">
                  <c:v>6076</c:v>
                </c:pt>
                <c:pt idx="2">
                  <c:v>5782</c:v>
                </c:pt>
                <c:pt idx="3">
                  <c:v>5675</c:v>
                </c:pt>
                <c:pt idx="4">
                  <c:v>5698</c:v>
                </c:pt>
                <c:pt idx="5">
                  <c:v>5604</c:v>
                </c:pt>
                <c:pt idx="6">
                  <c:v>6298</c:v>
                </c:pt>
                <c:pt idx="7">
                  <c:v>6024</c:v>
                </c:pt>
                <c:pt idx="8">
                  <c:v>5587</c:v>
                </c:pt>
                <c:pt idx="9">
                  <c:v>5477</c:v>
                </c:pt>
                <c:pt idx="10">
                  <c:v>5854</c:v>
                </c:pt>
              </c:numCache>
            </c:numRef>
          </c:val>
          <c:smooth val="0"/>
        </c:ser>
        <c:ser>
          <c:idx val="3"/>
          <c:order val="3"/>
          <c:tx>
            <c:strRef>
              <c:f>グラフ!$L$93</c:f>
              <c:strCache>
                <c:ptCount val="1"/>
                <c:pt idx="0">
                  <c:v>転出</c:v>
                </c:pt>
              </c:strCache>
            </c:strRef>
          </c:tx>
          <c:spPr>
            <a:ln w="12700">
              <a:solidFill>
                <a:srgbClr val="000000"/>
              </a:solidFill>
              <a:prstDash val="solid"/>
            </a:ln>
          </c:spPr>
          <c:marker>
            <c:symbol val="circle"/>
            <c:size val="9"/>
            <c:spPr>
              <a:solidFill>
                <a:srgbClr val="FFFFFF"/>
              </a:solidFill>
              <a:ln>
                <a:solidFill>
                  <a:srgbClr val="000000"/>
                </a:solidFill>
                <a:prstDash val="solid"/>
              </a:ln>
            </c:spPr>
          </c:marker>
          <c:dLbls>
            <c:dLbl>
              <c:idx val="0"/>
              <c:layout>
                <c:manualLayout>
                  <c:x val="-1.2962962962962963E-2"/>
                  <c:y val="-2.444013235616426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3.7805628463108844E-2"/>
                  <c:y val="-4.847250509164969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4.3361184018664331E-2"/>
                  <c:y val="-2.403258655804483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グラフ!$H$94:$H$104</c:f>
              <c:strCache>
                <c:ptCount val="11"/>
                <c:pt idx="0">
                  <c:v>平成18年</c:v>
                </c:pt>
                <c:pt idx="1">
                  <c:v>19</c:v>
                </c:pt>
                <c:pt idx="2">
                  <c:v>20</c:v>
                </c:pt>
                <c:pt idx="3">
                  <c:v>21</c:v>
                </c:pt>
                <c:pt idx="4">
                  <c:v>22</c:v>
                </c:pt>
                <c:pt idx="5">
                  <c:v>23</c:v>
                </c:pt>
                <c:pt idx="6">
                  <c:v>24</c:v>
                </c:pt>
                <c:pt idx="7">
                  <c:v>25</c:v>
                </c:pt>
                <c:pt idx="8">
                  <c:v>26</c:v>
                </c:pt>
                <c:pt idx="9">
                  <c:v>27</c:v>
                </c:pt>
                <c:pt idx="10">
                  <c:v>平成28年</c:v>
                </c:pt>
              </c:strCache>
            </c:strRef>
          </c:cat>
          <c:val>
            <c:numRef>
              <c:f>グラフ!$L$94:$L$104</c:f>
              <c:numCache>
                <c:formatCode>#,##0_);[Red]\(#,##0\)</c:formatCode>
                <c:ptCount val="11"/>
                <c:pt idx="0">
                  <c:v>6292</c:v>
                </c:pt>
                <c:pt idx="1">
                  <c:v>6198</c:v>
                </c:pt>
                <c:pt idx="2">
                  <c:v>6050</c:v>
                </c:pt>
                <c:pt idx="3">
                  <c:v>5759</c:v>
                </c:pt>
                <c:pt idx="4">
                  <c:v>5894</c:v>
                </c:pt>
                <c:pt idx="5">
                  <c:v>5736</c:v>
                </c:pt>
                <c:pt idx="6">
                  <c:v>5624</c:v>
                </c:pt>
                <c:pt idx="7">
                  <c:v>6342</c:v>
                </c:pt>
                <c:pt idx="8">
                  <c:v>6279</c:v>
                </c:pt>
                <c:pt idx="9">
                  <c:v>6303</c:v>
                </c:pt>
                <c:pt idx="10">
                  <c:v>6322</c:v>
                </c:pt>
              </c:numCache>
            </c:numRef>
          </c:val>
          <c:smooth val="0"/>
        </c:ser>
        <c:dLbls>
          <c:showLegendKey val="0"/>
          <c:showVal val="1"/>
          <c:showCatName val="0"/>
          <c:showSerName val="0"/>
          <c:showPercent val="0"/>
          <c:showBubbleSize val="0"/>
        </c:dLbls>
        <c:marker val="1"/>
        <c:smooth val="0"/>
        <c:axId val="246995152"/>
        <c:axId val="246995544"/>
      </c:lineChart>
      <c:catAx>
        <c:axId val="2469951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6995544"/>
        <c:crosses val="autoZero"/>
        <c:auto val="1"/>
        <c:lblAlgn val="ctr"/>
        <c:lblOffset val="100"/>
        <c:tickLblSkip val="1"/>
        <c:tickMarkSkip val="1"/>
        <c:noMultiLvlLbl val="0"/>
      </c:catAx>
      <c:valAx>
        <c:axId val="246995544"/>
        <c:scaling>
          <c:orientation val="minMax"/>
        </c:scaling>
        <c:delete val="0"/>
        <c:axPos val="l"/>
        <c:majorGridlines>
          <c:spPr>
            <a:ln w="3175">
              <a:solidFill>
                <a:srgbClr val="000000"/>
              </a:solidFill>
              <a:prstDash val="sysDash"/>
            </a:ln>
          </c:spPr>
        </c:majorGridlines>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790405365995919"/>
              <c:y val="4.2189543007735017E-2"/>
            </c:manualLayout>
          </c:layout>
          <c:overlay val="0"/>
          <c:spPr>
            <a:noFill/>
            <a:ln w="25400">
              <a:noFill/>
            </a:ln>
          </c:spPr>
        </c:title>
        <c:numFmt formatCode="#,##0_);[Red]\(#,##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6995152"/>
        <c:crosses val="autoZero"/>
        <c:crossBetween val="midCat"/>
      </c:valAx>
      <c:spPr>
        <a:solidFill>
          <a:srgbClr val="FFFFFF"/>
        </a:solidFill>
        <a:ln w="12700">
          <a:solidFill>
            <a:srgbClr val="000000"/>
          </a:solidFill>
          <a:prstDash val="solid"/>
        </a:ln>
      </c:spPr>
    </c:plotArea>
    <c:legend>
      <c:legendPos val="r"/>
      <c:layout>
        <c:manualLayout>
          <c:xMode val="edge"/>
          <c:yMode val="edge"/>
          <c:x val="0.25833362496354628"/>
          <c:y val="0.90224032586558045"/>
          <c:w val="0.51666739574219656"/>
          <c:h val="8.961303462321790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86520765978613"/>
          <c:y val="7.1925754060324795E-2"/>
          <c:w val="0.78766195782003634"/>
          <c:h val="0.76102088167054238"/>
        </c:manualLayout>
      </c:layout>
      <c:barChart>
        <c:barDir val="col"/>
        <c:grouping val="stacked"/>
        <c:varyColors val="0"/>
        <c:ser>
          <c:idx val="0"/>
          <c:order val="0"/>
          <c:tx>
            <c:strRef>
              <c:f>グラフ!$I$124</c:f>
              <c:strCache>
                <c:ptCount val="1"/>
                <c:pt idx="0">
                  <c:v>男</c:v>
                </c:pt>
              </c:strCache>
            </c:strRef>
          </c:tx>
          <c:spPr>
            <a:solidFill>
              <a:schemeClr val="bg1">
                <a:lumMod val="50000"/>
              </a:schemeClr>
            </a:solidFill>
            <a:ln w="12700">
              <a:solidFill>
                <a:srgbClr val="000000"/>
              </a:solidFill>
              <a:prstDash val="solid"/>
            </a:ln>
          </c:spPr>
          <c:invertIfNegative val="0"/>
          <c:dLbls>
            <c:dLbl>
              <c:idx val="8"/>
              <c:layout>
                <c:manualLayout>
                  <c:x val="0"/>
                  <c:y val="0.14297036332872981"/>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グラフ!$H$125:$H$134</c:f>
              <c:strCache>
                <c:ptCount val="10"/>
                <c:pt idx="0">
                  <c:v>昭和45年</c:v>
                </c:pt>
                <c:pt idx="1">
                  <c:v>50年</c:v>
                </c:pt>
                <c:pt idx="2">
                  <c:v>55年</c:v>
                </c:pt>
                <c:pt idx="3">
                  <c:v>60年</c:v>
                </c:pt>
                <c:pt idx="4">
                  <c:v>平成2年</c:v>
                </c:pt>
                <c:pt idx="5">
                  <c:v>7年</c:v>
                </c:pt>
                <c:pt idx="6">
                  <c:v>12年</c:v>
                </c:pt>
                <c:pt idx="7">
                  <c:v>17年</c:v>
                </c:pt>
                <c:pt idx="8">
                  <c:v>22年</c:v>
                </c:pt>
                <c:pt idx="9">
                  <c:v>27年</c:v>
                </c:pt>
              </c:strCache>
            </c:strRef>
          </c:cat>
          <c:val>
            <c:numRef>
              <c:f>グラフ!$I$125:$I$134</c:f>
              <c:numCache>
                <c:formatCode>#,##0_);[Red]\(#,##0\)</c:formatCode>
                <c:ptCount val="10"/>
                <c:pt idx="0">
                  <c:v>20362</c:v>
                </c:pt>
                <c:pt idx="1">
                  <c:v>29382</c:v>
                </c:pt>
                <c:pt idx="2">
                  <c:v>34773</c:v>
                </c:pt>
                <c:pt idx="3">
                  <c:v>40547</c:v>
                </c:pt>
                <c:pt idx="4">
                  <c:v>44316</c:v>
                </c:pt>
                <c:pt idx="5">
                  <c:v>47360</c:v>
                </c:pt>
                <c:pt idx="6">
                  <c:v>50440</c:v>
                </c:pt>
                <c:pt idx="7">
                  <c:v>52128</c:v>
                </c:pt>
                <c:pt idx="8">
                  <c:v>53948</c:v>
                </c:pt>
                <c:pt idx="9">
                  <c:v>55471</c:v>
                </c:pt>
              </c:numCache>
            </c:numRef>
          </c:val>
        </c:ser>
        <c:ser>
          <c:idx val="1"/>
          <c:order val="1"/>
          <c:tx>
            <c:strRef>
              <c:f>グラフ!$J$124</c:f>
              <c:strCache>
                <c:ptCount val="1"/>
                <c:pt idx="0">
                  <c:v>女</c:v>
                </c:pt>
              </c:strCache>
            </c:strRef>
          </c:tx>
          <c:spPr>
            <a:solidFill>
              <a:schemeClr val="bg1">
                <a:lumMod val="85000"/>
              </a:schemeClr>
            </a:solidFill>
            <a:ln w="12700">
              <a:solidFill>
                <a:srgbClr val="000000"/>
              </a:solidFill>
              <a:prstDash val="solid"/>
            </a:ln>
          </c:spPr>
          <c:invertIfNegative val="0"/>
          <c:dLbls>
            <c:dLbl>
              <c:idx val="3"/>
              <c:layout>
                <c:manualLayout>
                  <c:x val="-7.0141067613768679E-17"/>
                  <c:y val="-8.1161073544622361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3.8259206121474382E-3"/>
                  <c:y val="-0.14741424975636591"/>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グラフ!$H$125:$H$134</c:f>
              <c:strCache>
                <c:ptCount val="10"/>
                <c:pt idx="0">
                  <c:v>昭和45年</c:v>
                </c:pt>
                <c:pt idx="1">
                  <c:v>50年</c:v>
                </c:pt>
                <c:pt idx="2">
                  <c:v>55年</c:v>
                </c:pt>
                <c:pt idx="3">
                  <c:v>60年</c:v>
                </c:pt>
                <c:pt idx="4">
                  <c:v>平成2年</c:v>
                </c:pt>
                <c:pt idx="5">
                  <c:v>7年</c:v>
                </c:pt>
                <c:pt idx="6">
                  <c:v>12年</c:v>
                </c:pt>
                <c:pt idx="7">
                  <c:v>17年</c:v>
                </c:pt>
                <c:pt idx="8">
                  <c:v>22年</c:v>
                </c:pt>
                <c:pt idx="9">
                  <c:v>27年</c:v>
                </c:pt>
              </c:strCache>
            </c:strRef>
          </c:cat>
          <c:val>
            <c:numRef>
              <c:f>グラフ!$J$125:$J$134</c:f>
              <c:numCache>
                <c:formatCode>#,##0_);[Red]\(#,##0\)</c:formatCode>
                <c:ptCount val="10"/>
                <c:pt idx="0">
                  <c:v>21406</c:v>
                </c:pt>
                <c:pt idx="1">
                  <c:v>29907</c:v>
                </c:pt>
                <c:pt idx="2">
                  <c:v>35509</c:v>
                </c:pt>
                <c:pt idx="3">
                  <c:v>41064</c:v>
                </c:pt>
                <c:pt idx="4">
                  <c:v>45678</c:v>
                </c:pt>
                <c:pt idx="5">
                  <c:v>48642</c:v>
                </c:pt>
                <c:pt idx="6">
                  <c:v>52294</c:v>
                </c:pt>
                <c:pt idx="7">
                  <c:v>53921</c:v>
                </c:pt>
                <c:pt idx="8">
                  <c:v>56403</c:v>
                </c:pt>
                <c:pt idx="9" formatCode="_ * #,##0_ ;_ * &quot;△&quot;#,##0_ ;_ * \-_ ;_ @_ ">
                  <c:v>58761</c:v>
                </c:pt>
              </c:numCache>
            </c:numRef>
          </c:val>
        </c:ser>
        <c:dLbls>
          <c:showLegendKey val="0"/>
          <c:showVal val="1"/>
          <c:showCatName val="0"/>
          <c:showSerName val="0"/>
          <c:showPercent val="0"/>
          <c:showBubbleSize val="0"/>
        </c:dLbls>
        <c:gapWidth val="40"/>
        <c:overlap val="100"/>
        <c:axId val="430864752"/>
        <c:axId val="430866712"/>
      </c:barChart>
      <c:lineChart>
        <c:grouping val="standard"/>
        <c:varyColors val="0"/>
        <c:ser>
          <c:idx val="2"/>
          <c:order val="2"/>
          <c:tx>
            <c:strRef>
              <c:f>グラフ!$K$124</c:f>
              <c:strCache>
                <c:ptCount val="1"/>
                <c:pt idx="0">
                  <c:v>増加率</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layout>
                <c:manualLayout>
                  <c:x val="-4.1922600421001911E-2"/>
                  <c:y val="-4.054669703872442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618371950278098E-2"/>
                  <c:y val="-3.14350797266514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8967076748118178E-2"/>
                  <c:y val="-2.536066818526955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グラフ!$H$125:$H$134</c:f>
              <c:strCache>
                <c:ptCount val="10"/>
                <c:pt idx="0">
                  <c:v>昭和45年</c:v>
                </c:pt>
                <c:pt idx="1">
                  <c:v>50年</c:v>
                </c:pt>
                <c:pt idx="2">
                  <c:v>55年</c:v>
                </c:pt>
                <c:pt idx="3">
                  <c:v>60年</c:v>
                </c:pt>
                <c:pt idx="4">
                  <c:v>平成2年</c:v>
                </c:pt>
                <c:pt idx="5">
                  <c:v>7年</c:v>
                </c:pt>
                <c:pt idx="6">
                  <c:v>12年</c:v>
                </c:pt>
                <c:pt idx="7">
                  <c:v>17年</c:v>
                </c:pt>
                <c:pt idx="8">
                  <c:v>22年</c:v>
                </c:pt>
                <c:pt idx="9">
                  <c:v>27年</c:v>
                </c:pt>
              </c:strCache>
            </c:strRef>
          </c:cat>
          <c:val>
            <c:numRef>
              <c:f>グラフ!$K$125:$K$134</c:f>
              <c:numCache>
                <c:formatCode>0.00_);[Red]\(0.00\)</c:formatCode>
                <c:ptCount val="10"/>
                <c:pt idx="0">
                  <c:v>35.520000000000003</c:v>
                </c:pt>
                <c:pt idx="1">
                  <c:v>41.95</c:v>
                </c:pt>
                <c:pt idx="2">
                  <c:v>18.54</c:v>
                </c:pt>
                <c:pt idx="3">
                  <c:v>16.12</c:v>
                </c:pt>
                <c:pt idx="4">
                  <c:v>10.27</c:v>
                </c:pt>
                <c:pt idx="5">
                  <c:v>6.68</c:v>
                </c:pt>
                <c:pt idx="6">
                  <c:v>7.01</c:v>
                </c:pt>
                <c:pt idx="7">
                  <c:v>3.23</c:v>
                </c:pt>
                <c:pt idx="8">
                  <c:v>4.0599999999999996</c:v>
                </c:pt>
                <c:pt idx="9">
                  <c:v>3.52</c:v>
                </c:pt>
              </c:numCache>
            </c:numRef>
          </c:val>
          <c:smooth val="0"/>
        </c:ser>
        <c:dLbls>
          <c:showLegendKey val="0"/>
          <c:showVal val="1"/>
          <c:showCatName val="0"/>
          <c:showSerName val="0"/>
          <c:showPercent val="0"/>
          <c:showBubbleSize val="0"/>
        </c:dLbls>
        <c:marker val="1"/>
        <c:smooth val="0"/>
        <c:axId val="430865536"/>
        <c:axId val="430865928"/>
      </c:lineChart>
      <c:catAx>
        <c:axId val="4308647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30866712"/>
        <c:crosses val="autoZero"/>
        <c:auto val="1"/>
        <c:lblAlgn val="ctr"/>
        <c:lblOffset val="100"/>
        <c:tickLblSkip val="1"/>
        <c:tickMarkSkip val="1"/>
        <c:noMultiLvlLbl val="0"/>
      </c:catAx>
      <c:valAx>
        <c:axId val="430866712"/>
        <c:scaling>
          <c:orientation val="minMax"/>
        </c:scaling>
        <c:delete val="0"/>
        <c:axPos val="l"/>
        <c:majorGridlines>
          <c:spPr>
            <a:ln w="3175">
              <a:solidFill>
                <a:srgbClr val="000000"/>
              </a:solidFill>
              <a:prstDash val="sysDash"/>
            </a:ln>
          </c:spPr>
        </c:majorGridlines>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9.3148062374557694E-2"/>
              <c:y val="1.6624038168349689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30864752"/>
        <c:crosses val="autoZero"/>
        <c:crossBetween val="between"/>
      </c:valAx>
      <c:catAx>
        <c:axId val="430865536"/>
        <c:scaling>
          <c:orientation val="minMax"/>
        </c:scaling>
        <c:delete val="1"/>
        <c:axPos val="b"/>
        <c:numFmt formatCode="General" sourceLinked="1"/>
        <c:majorTickMark val="out"/>
        <c:minorTickMark val="none"/>
        <c:tickLblPos val="none"/>
        <c:crossAx val="430865928"/>
        <c:crossesAt val="0"/>
        <c:auto val="1"/>
        <c:lblAlgn val="ctr"/>
        <c:lblOffset val="100"/>
        <c:noMultiLvlLbl val="0"/>
      </c:catAx>
      <c:valAx>
        <c:axId val="430865928"/>
        <c:scaling>
          <c:orientation val="minMax"/>
          <c:max val="50"/>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584785940495479"/>
              <c:y val="2.2698449709731613E-2"/>
            </c:manualLayout>
          </c:layout>
          <c:overlay val="0"/>
          <c:spPr>
            <a:noFill/>
            <a:ln w="25400">
              <a:noFill/>
            </a:ln>
          </c:spPr>
        </c:title>
        <c:numFmt formatCode="0_);[Red]\(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30865536"/>
        <c:crosses val="max"/>
        <c:crossBetween val="between"/>
        <c:majorUnit val="5"/>
      </c:valAx>
      <c:spPr>
        <a:noFill/>
        <a:ln w="12700">
          <a:solidFill>
            <a:srgbClr val="000000"/>
          </a:solidFill>
          <a:prstDash val="solid"/>
        </a:ln>
      </c:spPr>
    </c:plotArea>
    <c:legend>
      <c:legendPos val="b"/>
      <c:layout>
        <c:manualLayout>
          <c:xMode val="edge"/>
          <c:yMode val="edge"/>
          <c:x val="0.27546628407461016"/>
          <c:y val="0.91571753986332549"/>
          <c:w val="0.46341463414634132"/>
          <c:h val="7.5170842824601403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102"/>
      <c:rotY val="20"/>
      <c:depthPercent val="130"/>
      <c:rAngAx val="1"/>
    </c:view3D>
    <c:floor>
      <c:thickness val="0"/>
      <c:spPr>
        <a:solidFill>
          <a:srgbClr val="FFFFFF"/>
        </a:solidFill>
        <a:ln w="12700">
          <a:solidFill>
            <a:srgbClr val="000000"/>
          </a:solidFill>
          <a:prstDash val="solid"/>
        </a:ln>
      </c:spPr>
    </c:floor>
    <c:sideWall>
      <c:thickness val="0"/>
      <c:spPr>
        <a:solidFill>
          <a:srgbClr val="FFFFFF"/>
        </a:solidFill>
        <a:ln w="12700">
          <a:solidFill>
            <a:srgbClr val="000000"/>
          </a:solidFill>
          <a:prstDash val="solid"/>
        </a:ln>
      </c:spPr>
    </c:sideWall>
    <c:backWall>
      <c:thickness val="0"/>
      <c:spPr>
        <a:solidFill>
          <a:srgbClr val="FFFFFF"/>
        </a:solidFill>
        <a:ln w="12700">
          <a:solidFill>
            <a:srgbClr val="000000"/>
          </a:solidFill>
          <a:prstDash val="solid"/>
        </a:ln>
      </c:spPr>
    </c:backWall>
    <c:plotArea>
      <c:layout>
        <c:manualLayout>
          <c:layoutTarget val="inner"/>
          <c:xMode val="edge"/>
          <c:yMode val="edge"/>
          <c:x val="0.1328324053111424"/>
          <c:y val="1.6632033515821446E-2"/>
          <c:w val="0.84461359603499975"/>
          <c:h val="0.76923155010674182"/>
        </c:manualLayout>
      </c:layout>
      <c:bar3D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0"/>
              <c:layout>
                <c:manualLayout>
                  <c:x val="1.5625941494155342E-2"/>
                  <c:y val="-1.203704006853613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312020208000316E-2"/>
                  <c:y val="1.162276752827934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7.399864490622925E-3"/>
                  <c:y val="4.6986538325121093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0097126184100113E-2"/>
                  <c:y val="3.7554058477920309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9658069057156718E-3"/>
                  <c:y val="-1.420815121602523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9.7393089021766983E-3"/>
                  <c:y val="-1.063052149666325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4.0189713127964264E-3"/>
                  <c:y val="-5.2986723852865717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9.2543695195995267E-3"/>
                  <c:y val="-5.028674949934792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3686183963846625E-2"/>
                  <c:y val="-7.621916283333613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6.3584157243502474E-3"/>
                  <c:y val="-9.238408608487350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1.0790230168597349E-2"/>
                  <c:y val="-8.9681929052007892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1.0146363283536927E-2"/>
                  <c:y val="-1.701420378585732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1.4450825225794149E-2"/>
                  <c:y val="-6.1961901331980124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8.8575770133996617E-3"/>
                  <c:y val="-6.9529250631612839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nchor="b" anchorCtr="1"/>
              <a:lstStyle/>
              <a:p>
                <a:pPr algn="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グラフ!$H$17:$H$30</c:f>
              <c:strCache>
                <c:ptCount val="14"/>
                <c:pt idx="0">
                  <c:v>米　国</c:v>
                </c:pt>
                <c:pt idx="1">
                  <c:v>中　国</c:v>
                </c:pt>
                <c:pt idx="2">
                  <c:v>韓国・朝鮮</c:v>
                </c:pt>
                <c:pt idx="3">
                  <c:v>フィリピン</c:v>
                </c:pt>
                <c:pt idx="4">
                  <c:v>ネパール</c:v>
                </c:pt>
                <c:pt idx="5">
                  <c:v>ベトナム</c:v>
                </c:pt>
                <c:pt idx="6">
                  <c:v>タイ</c:v>
                </c:pt>
                <c:pt idx="7">
                  <c:v>カナダ</c:v>
                </c:pt>
                <c:pt idx="8">
                  <c:v>ブラジル</c:v>
                </c:pt>
                <c:pt idx="9">
                  <c:v>アルゼンチン</c:v>
                </c:pt>
                <c:pt idx="10">
                  <c:v>ペルー</c:v>
                </c:pt>
                <c:pt idx="11">
                  <c:v>ボリビア</c:v>
                </c:pt>
                <c:pt idx="12">
                  <c:v>英国</c:v>
                </c:pt>
                <c:pt idx="13">
                  <c:v>その他</c:v>
                </c:pt>
              </c:strCache>
            </c:strRef>
          </c:cat>
          <c:val>
            <c:numRef>
              <c:f>グラフ!$I$17:$I$30</c:f>
              <c:numCache>
                <c:formatCode>#,##0_);[Red]\(#,##0\)</c:formatCode>
                <c:ptCount val="14"/>
                <c:pt idx="0">
                  <c:v>94</c:v>
                </c:pt>
                <c:pt idx="1">
                  <c:v>72</c:v>
                </c:pt>
                <c:pt idx="2">
                  <c:v>50</c:v>
                </c:pt>
                <c:pt idx="3">
                  <c:v>70</c:v>
                </c:pt>
                <c:pt idx="4">
                  <c:v>448</c:v>
                </c:pt>
                <c:pt idx="5">
                  <c:v>56</c:v>
                </c:pt>
                <c:pt idx="6">
                  <c:v>7</c:v>
                </c:pt>
                <c:pt idx="7">
                  <c:v>8</c:v>
                </c:pt>
                <c:pt idx="8">
                  <c:v>7</c:v>
                </c:pt>
                <c:pt idx="9">
                  <c:v>4</c:v>
                </c:pt>
                <c:pt idx="10">
                  <c:v>5</c:v>
                </c:pt>
                <c:pt idx="11">
                  <c:v>0</c:v>
                </c:pt>
                <c:pt idx="12">
                  <c:v>6</c:v>
                </c:pt>
                <c:pt idx="13">
                  <c:v>89</c:v>
                </c:pt>
              </c:numCache>
            </c:numRef>
          </c:val>
        </c:ser>
        <c:dLbls>
          <c:showLegendKey val="0"/>
          <c:showVal val="1"/>
          <c:showCatName val="0"/>
          <c:showSerName val="0"/>
          <c:showPercent val="0"/>
          <c:showBubbleSize val="0"/>
        </c:dLbls>
        <c:gapWidth val="110"/>
        <c:gapDepth val="120"/>
        <c:shape val="box"/>
        <c:axId val="430867104"/>
        <c:axId val="430862792"/>
        <c:axId val="0"/>
      </c:bar3DChart>
      <c:catAx>
        <c:axId val="430867104"/>
        <c:scaling>
          <c:orientation val="minMax"/>
        </c:scaling>
        <c:delete val="0"/>
        <c:axPos val="b"/>
        <c:numFmt formatCode="General" sourceLinked="1"/>
        <c:majorTickMark val="in"/>
        <c:minorTickMark val="none"/>
        <c:tickLblPos val="low"/>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430862792"/>
        <c:crosses val="autoZero"/>
        <c:auto val="1"/>
        <c:lblAlgn val="ctr"/>
        <c:lblOffset val="100"/>
        <c:tickLblSkip val="1"/>
        <c:tickMarkSkip val="1"/>
        <c:noMultiLvlLbl val="0"/>
      </c:catAx>
      <c:valAx>
        <c:axId val="430862792"/>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5.9138923424046537E-2"/>
              <c:y val="1.8962681639847278E-2"/>
            </c:manualLayout>
          </c:layout>
          <c:overlay val="0"/>
          <c:spPr>
            <a:noFill/>
            <a:ln w="25400">
              <a:noFill/>
            </a:ln>
          </c:spPr>
        </c:title>
        <c:numFmt formatCode="#,##0_);[Red]\(#,##0\)"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30867104"/>
        <c:crosses val="autoZero"/>
        <c:crossBetween val="between"/>
        <c:majorUnit val="3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855670103092793E-2"/>
          <c:y val="8.88324873096447E-2"/>
          <c:w val="0.89003436426116656"/>
          <c:h val="0.80964467005076912"/>
        </c:manualLayout>
      </c:layout>
      <c:barChart>
        <c:barDir val="col"/>
        <c:grouping val="percentStacked"/>
        <c:varyColors val="0"/>
        <c:ser>
          <c:idx val="1"/>
          <c:order val="0"/>
          <c:tx>
            <c:strRef>
              <c:f>グラフ!$I$155</c:f>
              <c:strCache>
                <c:ptCount val="1"/>
                <c:pt idx="0">
                  <c:v>人口集中地区</c:v>
                </c:pt>
              </c:strCache>
            </c:strRef>
          </c:tx>
          <c:spPr>
            <a:pattFill prst="pct25">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グラフ!$H$156:$H$157</c:f>
              <c:strCache>
                <c:ptCount val="2"/>
                <c:pt idx="0">
                  <c:v>面積</c:v>
                </c:pt>
                <c:pt idx="1">
                  <c:v>人口</c:v>
                </c:pt>
              </c:strCache>
            </c:strRef>
          </c:cat>
          <c:val>
            <c:numRef>
              <c:f>グラフ!$I$156:$I$157</c:f>
              <c:numCache>
                <c:formatCode>#.0"%"</c:formatCode>
                <c:ptCount val="2"/>
                <c:pt idx="0">
                  <c:v>64.014373716632448</c:v>
                </c:pt>
                <c:pt idx="1">
                  <c:v>97.318614748931992</c:v>
                </c:pt>
              </c:numCache>
            </c:numRef>
          </c:val>
        </c:ser>
        <c:ser>
          <c:idx val="0"/>
          <c:order val="1"/>
          <c:tx>
            <c:strRef>
              <c:f>グラフ!$J$155</c:f>
              <c:strCache>
                <c:ptCount val="1"/>
                <c:pt idx="0">
                  <c:v>人口集中地区外</c:v>
                </c:pt>
              </c:strCache>
            </c:strRef>
          </c:tx>
          <c:spPr>
            <a:pattFill prst="ltDnDiag">
              <a:fgClr>
                <a:srgbClr val="FFFFFF"/>
              </a:fgClr>
              <a:bgClr>
                <a:srgbClr val="FFFFFF"/>
              </a:bgClr>
            </a:pattFill>
            <a:ln w="12700">
              <a:solidFill>
                <a:srgbClr val="000000"/>
              </a:solidFill>
              <a:prstDash val="solid"/>
            </a:ln>
          </c:spPr>
          <c:invertIfNegative val="0"/>
          <c:dPt>
            <c:idx val="0"/>
            <c:invertIfNegative val="0"/>
            <c:bubble3D val="0"/>
            <c:spPr>
              <a:pattFill prst="pct10">
                <a:fgClr>
                  <a:srgbClr val="FFFFFF"/>
                </a:fgClr>
                <a:bgClr>
                  <a:srgbClr val="FFFFFF"/>
                </a:bgClr>
              </a:pattFill>
              <a:ln w="12700">
                <a:solidFill>
                  <a:srgbClr val="000000"/>
                </a:solidFill>
                <a:prstDash val="solid"/>
              </a:ln>
            </c:spPr>
          </c:dPt>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グラフ!$H$156:$H$157</c:f>
              <c:strCache>
                <c:ptCount val="2"/>
                <c:pt idx="0">
                  <c:v>面積</c:v>
                </c:pt>
                <c:pt idx="1">
                  <c:v>人口</c:v>
                </c:pt>
              </c:strCache>
            </c:strRef>
          </c:cat>
          <c:val>
            <c:numRef>
              <c:f>グラフ!$J$156:$J$157</c:f>
              <c:numCache>
                <c:formatCode>#.0"%"</c:formatCode>
                <c:ptCount val="2"/>
                <c:pt idx="0">
                  <c:v>35.985626283367552</c:v>
                </c:pt>
                <c:pt idx="1">
                  <c:v>2.6813852510680078</c:v>
                </c:pt>
              </c:numCache>
            </c:numRef>
          </c:val>
        </c:ser>
        <c:dLbls>
          <c:showLegendKey val="0"/>
          <c:showVal val="1"/>
          <c:showCatName val="0"/>
          <c:showSerName val="0"/>
          <c:showPercent val="0"/>
          <c:showBubbleSize val="0"/>
        </c:dLbls>
        <c:gapWidth val="20"/>
        <c:overlap val="100"/>
        <c:serLines>
          <c:spPr>
            <a:ln w="3175">
              <a:solidFill>
                <a:srgbClr val="FFFFFF"/>
              </a:solidFill>
              <a:prstDash val="sysDash"/>
            </a:ln>
          </c:spPr>
        </c:serLines>
        <c:axId val="430859656"/>
        <c:axId val="430863184"/>
      </c:barChart>
      <c:catAx>
        <c:axId val="430859656"/>
        <c:scaling>
          <c:orientation val="minMax"/>
        </c:scaling>
        <c:delete val="0"/>
        <c:axPos val="t"/>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30863184"/>
        <c:crosses val="max"/>
        <c:auto val="1"/>
        <c:lblAlgn val="ctr"/>
        <c:lblOffset val="100"/>
        <c:tickLblSkip val="1"/>
        <c:tickMarkSkip val="1"/>
        <c:noMultiLvlLbl val="0"/>
      </c:catAx>
      <c:valAx>
        <c:axId val="430863184"/>
        <c:scaling>
          <c:orientation val="minMax"/>
        </c:scaling>
        <c:delete val="0"/>
        <c:axPos val="l"/>
        <c:numFmt formatCode="0%" sourceLinked="1"/>
        <c:majorTickMark val="in"/>
        <c:minorTickMark val="none"/>
        <c:tickLblPos val="none"/>
        <c:spPr>
          <a:ln w="3175">
            <a:solidFill>
              <a:srgbClr val="000000"/>
            </a:solidFill>
            <a:prstDash val="solid"/>
          </a:ln>
        </c:spPr>
        <c:crossAx val="430859656"/>
        <c:crosses val="autoZero"/>
        <c:crossBetween val="between"/>
      </c:valAx>
      <c:spPr>
        <a:noFill/>
        <a:ln w="12700">
          <a:solidFill>
            <a:srgbClr val="000000"/>
          </a:solidFill>
          <a:prstDash val="solid"/>
        </a:ln>
      </c:spPr>
    </c:plotArea>
    <c:legend>
      <c:legendPos val="b"/>
      <c:layout>
        <c:manualLayout>
          <c:xMode val="edge"/>
          <c:yMode val="edge"/>
          <c:x val="0.15120274914089554"/>
          <c:y val="0.92893401015228461"/>
          <c:w val="0.71477663230241306"/>
          <c:h val="6.34517766497458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0454545454547E-2"/>
          <c:y val="6.3091482649842434E-2"/>
          <c:w val="0.80681818181818177"/>
          <c:h val="0.89589905362776789"/>
        </c:manualLayout>
      </c:layout>
      <c:doughnutChart>
        <c:varyColors val="1"/>
        <c:ser>
          <c:idx val="0"/>
          <c:order val="0"/>
          <c:spPr>
            <a:solidFill>
              <a:srgbClr val="9999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10">
                <a:fgClr>
                  <a:srgbClr val="000000"/>
                </a:fgClr>
                <a:bgClr>
                  <a:srgbClr val="FFFFFF"/>
                </a:bgClr>
              </a:pattFill>
              <a:ln w="12700">
                <a:solidFill>
                  <a:srgbClr val="000000"/>
                </a:solidFill>
                <a:prstDash val="solid"/>
              </a:ln>
            </c:spPr>
          </c:dPt>
          <c:dPt>
            <c:idx val="2"/>
            <c:bubble3D val="0"/>
            <c:spPr>
              <a:pattFill prst="pct75">
                <a:fgClr>
                  <a:srgbClr val="000000"/>
                </a:fgClr>
                <a:bgClr>
                  <a:srgbClr val="FFFFFF"/>
                </a:bgClr>
              </a:pattFill>
              <a:ln w="12700">
                <a:solidFill>
                  <a:srgbClr val="000000"/>
                </a:solidFill>
                <a:prstDash val="solid"/>
              </a:ln>
            </c:spPr>
          </c:dPt>
          <c:dLbls>
            <c:dLbl>
              <c:idx val="0"/>
              <c:layout>
                <c:manualLayout>
                  <c:x val="1.0571462658076892E-2"/>
                  <c:y val="1.0056550502165121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歳未満</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19%</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6.4841028394177977E-2"/>
                  <c:y val="-2.5426364291214407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64</a:t>
                    </a:r>
                    <a:r>
                      <a:rPr lang="ja-JP" altLang="en-US" sz="900" b="0" i="0" u="none" strike="noStrike" baseline="0">
                        <a:solidFill>
                          <a:srgbClr val="000000"/>
                        </a:solidFill>
                        <a:latin typeface="ＭＳ Ｐゴシック"/>
                        <a:ea typeface="ＭＳ Ｐゴシック"/>
                      </a:rPr>
                      <a:t>歳</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2"/>
              <c:layout>
                <c:manualLayout>
                  <c:x val="-1.1942555476020321E-2"/>
                  <c:y val="-7.8544756037987225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r>
                      <a:rPr lang="ja-JP" altLang="en-US" sz="900" b="0" i="0" u="none" strike="noStrike" baseline="0">
                        <a:solidFill>
                          <a:srgbClr val="000000"/>
                        </a:solidFill>
                        <a:latin typeface="ＭＳ Ｐゴシック"/>
                        <a:ea typeface="ＭＳ Ｐゴシック"/>
                      </a:rPr>
                      <a:t>歳以上</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16%</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howLeaderLines val="0"/>
            <c:extLst>
              <c:ext xmlns:c15="http://schemas.microsoft.com/office/drawing/2012/chart" uri="{CE6537A1-D6FC-4f65-9D91-7224C49458BB}"/>
            </c:extLst>
          </c:dLbls>
          <c:cat>
            <c:strRef>
              <c:f>グラフ!$H$38:$H$40</c:f>
              <c:strCache>
                <c:ptCount val="3"/>
                <c:pt idx="0">
                  <c:v>15歳未満</c:v>
                </c:pt>
                <c:pt idx="1">
                  <c:v>15～64歳</c:v>
                </c:pt>
                <c:pt idx="2">
                  <c:v>65歳以上</c:v>
                </c:pt>
              </c:strCache>
            </c:strRef>
          </c:cat>
          <c:val>
            <c:numRef>
              <c:f>グラフ!$I$38:$I$40</c:f>
              <c:numCache>
                <c:formatCode>#,##0_);[Red]\(#,##0\)</c:formatCode>
                <c:ptCount val="3"/>
                <c:pt idx="0">
                  <c:v>10599</c:v>
                </c:pt>
                <c:pt idx="1">
                  <c:v>36242</c:v>
                </c:pt>
                <c:pt idx="2">
                  <c:v>8946</c:v>
                </c:pt>
              </c:numCache>
            </c:numRef>
          </c:val>
        </c:ser>
        <c:dLbls>
          <c:showLegendKey val="0"/>
          <c:showVal val="0"/>
          <c:showCatName val="1"/>
          <c:showSerName val="0"/>
          <c:showPercent val="1"/>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45045920225994"/>
          <c:y val="6.9977426636568904E-2"/>
          <c:w val="0.83246179705624757"/>
          <c:h val="0.77878103837473289"/>
        </c:manualLayout>
      </c:layout>
      <c:barChart>
        <c:barDir val="col"/>
        <c:grouping val="stacked"/>
        <c:varyColors val="0"/>
        <c:ser>
          <c:idx val="0"/>
          <c:order val="0"/>
          <c:tx>
            <c:strRef>
              <c:f>グラフ!$I$195</c:f>
              <c:strCache>
                <c:ptCount val="1"/>
                <c:pt idx="0">
                  <c:v>持ち家</c:v>
                </c:pt>
              </c:strCache>
            </c:strRef>
          </c:tx>
          <c:spPr>
            <a:pattFill prst="pct5">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グラフ!$H$196:$H$198</c:f>
              <c:strCache>
                <c:ptCount val="3"/>
                <c:pt idx="0">
                  <c:v>平成17年</c:v>
                </c:pt>
                <c:pt idx="1">
                  <c:v>22年</c:v>
                </c:pt>
                <c:pt idx="2">
                  <c:v>27年</c:v>
                </c:pt>
              </c:strCache>
            </c:strRef>
          </c:cat>
          <c:val>
            <c:numRef>
              <c:f>グラフ!$I$196:$I$198</c:f>
              <c:numCache>
                <c:formatCode>#,##0_);[Red]\(#,##0\)</c:formatCode>
                <c:ptCount val="3"/>
                <c:pt idx="0">
                  <c:v>16350</c:v>
                </c:pt>
                <c:pt idx="1">
                  <c:v>16933</c:v>
                </c:pt>
                <c:pt idx="2">
                  <c:v>18531</c:v>
                </c:pt>
              </c:numCache>
            </c:numRef>
          </c:val>
        </c:ser>
        <c:ser>
          <c:idx val="1"/>
          <c:order val="1"/>
          <c:tx>
            <c:strRef>
              <c:f>グラフ!$J$195</c:f>
              <c:strCache>
                <c:ptCount val="1"/>
                <c:pt idx="0">
                  <c:v>借家</c:v>
                </c:pt>
              </c:strCache>
            </c:strRef>
          </c:tx>
          <c:spPr>
            <a:pattFill prst="wdUpDiag">
              <a:fgClr>
                <a:srgbClr val="80808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グラフ!$H$196:$H$198</c:f>
              <c:strCache>
                <c:ptCount val="3"/>
                <c:pt idx="0">
                  <c:v>平成17年</c:v>
                </c:pt>
                <c:pt idx="1">
                  <c:v>22年</c:v>
                </c:pt>
                <c:pt idx="2">
                  <c:v>27年</c:v>
                </c:pt>
              </c:strCache>
            </c:strRef>
          </c:cat>
          <c:val>
            <c:numRef>
              <c:f>グラフ!$J$196:$J$198</c:f>
              <c:numCache>
                <c:formatCode>#,##0_);[Red]\(#,##0\)</c:formatCode>
                <c:ptCount val="3"/>
                <c:pt idx="0">
                  <c:v>20157</c:v>
                </c:pt>
                <c:pt idx="1">
                  <c:v>21936</c:v>
                </c:pt>
                <c:pt idx="2">
                  <c:v>23767</c:v>
                </c:pt>
              </c:numCache>
            </c:numRef>
          </c:val>
        </c:ser>
        <c:ser>
          <c:idx val="2"/>
          <c:order val="2"/>
          <c:tx>
            <c:strRef>
              <c:f>グラフ!$K$195</c:f>
              <c:strCache>
                <c:ptCount val="1"/>
                <c:pt idx="0">
                  <c:v>その他</c:v>
                </c:pt>
              </c:strCache>
            </c:strRef>
          </c:tx>
          <c:spPr>
            <a:pattFill prst="trellis">
              <a:fgClr>
                <a:srgbClr val="000000"/>
              </a:fgClr>
              <a:bgClr>
                <a:srgbClr val="FFFFFF"/>
              </a:bgClr>
            </a:pattFill>
            <a:ln w="12700">
              <a:solidFill>
                <a:srgbClr val="000000"/>
              </a:solidFill>
              <a:prstDash val="solid"/>
            </a:ln>
          </c:spPr>
          <c:invertIfNegative val="0"/>
          <c:dLbls>
            <c:dLbl>
              <c:idx val="0"/>
              <c:layout>
                <c:manualLayout>
                  <c:x val="-8.741043001303319E-3"/>
                  <c:y val="3.0628423220373452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グラフ!$H$196:$H$198</c:f>
              <c:strCache>
                <c:ptCount val="3"/>
                <c:pt idx="0">
                  <c:v>平成17年</c:v>
                </c:pt>
                <c:pt idx="1">
                  <c:v>22年</c:v>
                </c:pt>
                <c:pt idx="2">
                  <c:v>27年</c:v>
                </c:pt>
              </c:strCache>
            </c:strRef>
          </c:cat>
          <c:val>
            <c:numRef>
              <c:f>グラフ!$K$196:$K$198</c:f>
              <c:numCache>
                <c:formatCode>#,##0_);[Red]\(#,##0\)</c:formatCode>
                <c:ptCount val="3"/>
                <c:pt idx="0">
                  <c:v>1679</c:v>
                </c:pt>
                <c:pt idx="1">
                  <c:v>1825</c:v>
                </c:pt>
                <c:pt idx="2">
                  <c:v>1465</c:v>
                </c:pt>
              </c:numCache>
            </c:numRef>
          </c:val>
        </c:ser>
        <c:dLbls>
          <c:showLegendKey val="0"/>
          <c:showVal val="1"/>
          <c:showCatName val="0"/>
          <c:showSerName val="0"/>
          <c:showPercent val="0"/>
          <c:showBubbleSize val="0"/>
        </c:dLbls>
        <c:gapWidth val="30"/>
        <c:overlap val="100"/>
        <c:axId val="430862400"/>
        <c:axId val="430863968"/>
      </c:barChart>
      <c:catAx>
        <c:axId val="4308624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30863968"/>
        <c:crosses val="autoZero"/>
        <c:auto val="0"/>
        <c:lblAlgn val="ctr"/>
        <c:lblOffset val="100"/>
        <c:tickLblSkip val="1"/>
        <c:tickMarkSkip val="1"/>
        <c:noMultiLvlLbl val="0"/>
      </c:catAx>
      <c:valAx>
        <c:axId val="430863968"/>
        <c:scaling>
          <c:orientation val="minMax"/>
        </c:scaling>
        <c:delete val="0"/>
        <c:axPos val="l"/>
        <c:majorGridlines>
          <c:spPr>
            <a:ln w="3175">
              <a:solidFill>
                <a:srgbClr val="FFFFFF"/>
              </a:solidFill>
              <a:prstDash val="solid"/>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世帯</a:t>
                </a:r>
              </a:p>
            </c:rich>
          </c:tx>
          <c:layout>
            <c:manualLayout>
              <c:xMode val="edge"/>
              <c:yMode val="edge"/>
              <c:x val="0.13874373033213999"/>
              <c:y val="2.0316027088036141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30862400"/>
        <c:crosses val="autoZero"/>
        <c:crossBetween val="between"/>
      </c:valAx>
      <c:spPr>
        <a:noFill/>
        <a:ln w="12700">
          <a:solidFill>
            <a:srgbClr val="000000"/>
          </a:solidFill>
          <a:prstDash val="solid"/>
        </a:ln>
      </c:spPr>
    </c:plotArea>
    <c:legend>
      <c:legendPos val="b"/>
      <c:layout>
        <c:manualLayout>
          <c:xMode val="edge"/>
          <c:yMode val="edge"/>
          <c:x val="0.1806282722513089"/>
          <c:y val="0.91196388261851646"/>
          <c:w val="0.74083769633508956"/>
          <c:h val="7.2234762979684008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1.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0.xml"/><Relationship Id="rId5" Type="http://schemas.openxmlformats.org/officeDocument/2006/relationships/chart" Target="../charts/chart5.xml"/><Relationship Id="rId10" Type="http://schemas.openxmlformats.org/officeDocument/2006/relationships/chart" Target="../charts/chart9.xml"/><Relationship Id="rId4" Type="http://schemas.openxmlformats.org/officeDocument/2006/relationships/chart" Target="../charts/chart4.xml"/><Relationship Id="rId9"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0</xdr:colOff>
      <xdr:row>52</xdr:row>
      <xdr:rowOff>0</xdr:rowOff>
    </xdr:from>
    <xdr:to>
      <xdr:col>21</xdr:col>
      <xdr:colOff>342900</xdr:colOff>
      <xdr:row>53</xdr:row>
      <xdr:rowOff>19050</xdr:rowOff>
    </xdr:to>
    <xdr:sp macro="" textlink="">
      <xdr:nvSpPr>
        <xdr:cNvPr id="8193" name="Text Box 2"/>
        <xdr:cNvSpPr txBox="1">
          <a:spLocks noChangeArrowheads="1"/>
        </xdr:cNvSpPr>
      </xdr:nvSpPr>
      <xdr:spPr bwMode="auto">
        <a:xfrm>
          <a:off x="10801350" y="10601325"/>
          <a:ext cx="1847850" cy="209550"/>
        </a:xfrm>
        <a:prstGeom prst="rect">
          <a:avLst/>
        </a:prstGeom>
        <a:noFill/>
        <a:ln w="9525">
          <a:noFill/>
          <a:round/>
          <a:headEnd/>
          <a:tailEnd/>
        </a:ln>
      </xdr:spPr>
    </xdr:sp>
    <xdr:clientData/>
  </xdr:twoCellAnchor>
  <xdr:twoCellAnchor>
    <xdr:from>
      <xdr:col>16</xdr:col>
      <xdr:colOff>438150</xdr:colOff>
      <xdr:row>48</xdr:row>
      <xdr:rowOff>142875</xdr:rowOff>
    </xdr:from>
    <xdr:to>
      <xdr:col>17</xdr:col>
      <xdr:colOff>104775</xdr:colOff>
      <xdr:row>50</xdr:row>
      <xdr:rowOff>180975</xdr:rowOff>
    </xdr:to>
    <xdr:sp macro="" textlink="" fLocksText="0">
      <xdr:nvSpPr>
        <xdr:cNvPr id="7171" name="Rectangle 12"/>
        <xdr:cNvSpPr>
          <a:spLocks noChangeArrowheads="1"/>
        </xdr:cNvSpPr>
      </xdr:nvSpPr>
      <xdr:spPr bwMode="auto">
        <a:xfrm>
          <a:off x="10010775" y="10096500"/>
          <a:ext cx="381000"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48</xdr:row>
      <xdr:rowOff>9525</xdr:rowOff>
    </xdr:from>
    <xdr:to>
      <xdr:col>22</xdr:col>
      <xdr:colOff>257175</xdr:colOff>
      <xdr:row>51</xdr:row>
      <xdr:rowOff>152400</xdr:rowOff>
    </xdr:to>
    <xdr:sp macro="" textlink="">
      <xdr:nvSpPr>
        <xdr:cNvPr id="8196" name="AutoShape 26"/>
        <xdr:cNvSpPr>
          <a:spLocks/>
        </xdr:cNvSpPr>
      </xdr:nvSpPr>
      <xdr:spPr bwMode="auto">
        <a:xfrm>
          <a:off x="13087350" y="984885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48</xdr:row>
      <xdr:rowOff>9525</xdr:rowOff>
    </xdr:from>
    <xdr:to>
      <xdr:col>16</xdr:col>
      <xdr:colOff>390525</xdr:colOff>
      <xdr:row>51</xdr:row>
      <xdr:rowOff>152400</xdr:rowOff>
    </xdr:to>
    <xdr:sp macro="" textlink="">
      <xdr:nvSpPr>
        <xdr:cNvPr id="8197" name="AutoShape 27"/>
        <xdr:cNvSpPr>
          <a:spLocks/>
        </xdr:cNvSpPr>
      </xdr:nvSpPr>
      <xdr:spPr bwMode="auto">
        <a:xfrm>
          <a:off x="9534525" y="984885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22</xdr:col>
      <xdr:colOff>285750</xdr:colOff>
      <xdr:row>48</xdr:row>
      <xdr:rowOff>152400</xdr:rowOff>
    </xdr:from>
    <xdr:to>
      <xdr:col>22</xdr:col>
      <xdr:colOff>714375</xdr:colOff>
      <xdr:row>51</xdr:row>
      <xdr:rowOff>19050</xdr:rowOff>
    </xdr:to>
    <xdr:sp macro="" textlink="" fLocksText="0">
      <xdr:nvSpPr>
        <xdr:cNvPr id="7" name="Rectangle 11"/>
        <xdr:cNvSpPr>
          <a:spLocks noChangeArrowheads="1"/>
        </xdr:cNvSpPr>
      </xdr:nvSpPr>
      <xdr:spPr bwMode="auto">
        <a:xfrm>
          <a:off x="13344525" y="8067675"/>
          <a:ext cx="400050" cy="3048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48</xdr:row>
      <xdr:rowOff>142875</xdr:rowOff>
    </xdr:from>
    <xdr:to>
      <xdr:col>17</xdr:col>
      <xdr:colOff>104775</xdr:colOff>
      <xdr:row>50</xdr:row>
      <xdr:rowOff>180975</xdr:rowOff>
    </xdr:to>
    <xdr:sp macro="" textlink="" fLocksText="0">
      <xdr:nvSpPr>
        <xdr:cNvPr id="8" name="Rectangle 12"/>
        <xdr:cNvSpPr>
          <a:spLocks noChangeArrowheads="1"/>
        </xdr:cNvSpPr>
      </xdr:nvSpPr>
      <xdr:spPr bwMode="auto">
        <a:xfrm>
          <a:off x="9810750" y="8067675"/>
          <a:ext cx="390525" cy="2857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xdr:col>
      <xdr:colOff>190501</xdr:colOff>
      <xdr:row>48</xdr:row>
      <xdr:rowOff>66676</xdr:rowOff>
    </xdr:from>
    <xdr:to>
      <xdr:col>1</xdr:col>
      <xdr:colOff>304801</xdr:colOff>
      <xdr:row>52</xdr:row>
      <xdr:rowOff>142876</xdr:rowOff>
    </xdr:to>
    <xdr:sp macro="" textlink="">
      <xdr:nvSpPr>
        <xdr:cNvPr id="2" name="左中かっこ 1"/>
        <xdr:cNvSpPr/>
      </xdr:nvSpPr>
      <xdr:spPr bwMode="auto">
        <a:xfrm>
          <a:off x="285751" y="9744076"/>
          <a:ext cx="114300" cy="838200"/>
        </a:xfrm>
        <a:prstGeom prst="leftBrace">
          <a:avLst/>
        </a:prstGeom>
        <a:solidFill>
          <a:srgbClr val="FFFFFF"/>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133350</xdr:colOff>
      <xdr:row>57</xdr:row>
      <xdr:rowOff>104775</xdr:rowOff>
    </xdr:from>
    <xdr:to>
      <xdr:col>23</xdr:col>
      <xdr:colOff>257175</xdr:colOff>
      <xdr:row>58</xdr:row>
      <xdr:rowOff>123825</xdr:rowOff>
    </xdr:to>
    <xdr:sp macro="" textlink="">
      <xdr:nvSpPr>
        <xdr:cNvPr id="9217" name="Text Box 2"/>
        <xdr:cNvSpPr txBox="1">
          <a:spLocks noChangeArrowheads="1"/>
        </xdr:cNvSpPr>
      </xdr:nvSpPr>
      <xdr:spPr bwMode="auto">
        <a:xfrm>
          <a:off x="12439650" y="11630025"/>
          <a:ext cx="1847850" cy="209550"/>
        </a:xfrm>
        <a:prstGeom prst="rect">
          <a:avLst/>
        </a:prstGeom>
        <a:noFill/>
        <a:ln w="9525">
          <a:noFill/>
          <a:round/>
          <a:headEnd/>
          <a:tailEnd/>
        </a:ln>
      </xdr:spPr>
    </xdr:sp>
    <xdr:clientData/>
  </xdr:twoCellAnchor>
  <xdr:twoCellAnchor>
    <xdr:from>
      <xdr:col>16</xdr:col>
      <xdr:colOff>104775</xdr:colOff>
      <xdr:row>48</xdr:row>
      <xdr:rowOff>19050</xdr:rowOff>
    </xdr:from>
    <xdr:to>
      <xdr:col>16</xdr:col>
      <xdr:colOff>333375</xdr:colOff>
      <xdr:row>51</xdr:row>
      <xdr:rowOff>161925</xdr:rowOff>
    </xdr:to>
    <xdr:sp macro="" textlink="">
      <xdr:nvSpPr>
        <xdr:cNvPr id="25" name="AutoShape 27"/>
        <xdr:cNvSpPr>
          <a:spLocks/>
        </xdr:cNvSpPr>
      </xdr:nvSpPr>
      <xdr:spPr bwMode="auto">
        <a:xfrm>
          <a:off x="9477375" y="982980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21</xdr:col>
      <xdr:colOff>723900</xdr:colOff>
      <xdr:row>48</xdr:row>
      <xdr:rowOff>19050</xdr:rowOff>
    </xdr:from>
    <xdr:to>
      <xdr:col>22</xdr:col>
      <xdr:colOff>200025</xdr:colOff>
      <xdr:row>51</xdr:row>
      <xdr:rowOff>161925</xdr:rowOff>
    </xdr:to>
    <xdr:sp macro="" textlink="">
      <xdr:nvSpPr>
        <xdr:cNvPr id="96" name="AutoShape 26"/>
        <xdr:cNvSpPr>
          <a:spLocks/>
        </xdr:cNvSpPr>
      </xdr:nvSpPr>
      <xdr:spPr bwMode="auto">
        <a:xfrm>
          <a:off x="13030200" y="9829800"/>
          <a:ext cx="228600" cy="714375"/>
        </a:xfrm>
        <a:prstGeom prst="rightBrace">
          <a:avLst>
            <a:gd name="adj1" fmla="val 0"/>
            <a:gd name="adj2" fmla="val 50000"/>
          </a:avLst>
        </a:prstGeom>
        <a:noFill/>
        <a:ln w="9360">
          <a:solidFill>
            <a:srgbClr val="000000"/>
          </a:solidFill>
          <a:miter lim="800000"/>
          <a:headEnd/>
          <a:tailEnd/>
        </a:ln>
      </xdr:spPr>
      <xdr:txBody>
        <a:bodyPr/>
        <a:lstStyle/>
        <a:p>
          <a:endParaRPr lang="ja-JP" altLang="en-US"/>
        </a:p>
      </xdr:txBody>
    </xdr:sp>
    <xdr:clientData/>
  </xdr:twoCellAnchor>
  <xdr:twoCellAnchor>
    <xdr:from>
      <xdr:col>20</xdr:col>
      <xdr:colOff>552450</xdr:colOff>
      <xdr:row>57</xdr:row>
      <xdr:rowOff>19050</xdr:rowOff>
    </xdr:from>
    <xdr:to>
      <xdr:col>22</xdr:col>
      <xdr:colOff>895350</xdr:colOff>
      <xdr:row>58</xdr:row>
      <xdr:rowOff>38100</xdr:rowOff>
    </xdr:to>
    <xdr:sp macro="" textlink="">
      <xdr:nvSpPr>
        <xdr:cNvPr id="34" name="Text Box 2"/>
        <xdr:cNvSpPr txBox="1">
          <a:spLocks noChangeArrowheads="1"/>
        </xdr:cNvSpPr>
      </xdr:nvSpPr>
      <xdr:spPr bwMode="auto">
        <a:xfrm>
          <a:off x="12106275" y="11544300"/>
          <a:ext cx="1847850" cy="209550"/>
        </a:xfrm>
        <a:prstGeom prst="rect">
          <a:avLst/>
        </a:prstGeom>
        <a:noFill/>
        <a:ln w="9525">
          <a:noFill/>
          <a:round/>
          <a:headEnd/>
          <a:tailEnd/>
        </a:ln>
      </xdr:spPr>
    </xdr:sp>
    <xdr:clientData/>
  </xdr:twoCellAnchor>
  <xdr:twoCellAnchor>
    <xdr:from>
      <xdr:col>22</xdr:col>
      <xdr:colOff>247650</xdr:colOff>
      <xdr:row>48</xdr:row>
      <xdr:rowOff>171450</xdr:rowOff>
    </xdr:from>
    <xdr:to>
      <xdr:col>22</xdr:col>
      <xdr:colOff>676275</xdr:colOff>
      <xdr:row>51</xdr:row>
      <xdr:rowOff>38100</xdr:rowOff>
    </xdr:to>
    <xdr:sp macro="" textlink="" fLocksText="0">
      <xdr:nvSpPr>
        <xdr:cNvPr id="38" name="Rectangle 11"/>
        <xdr:cNvSpPr>
          <a:spLocks noChangeArrowheads="1"/>
        </xdr:cNvSpPr>
      </xdr:nvSpPr>
      <xdr:spPr bwMode="auto">
        <a:xfrm>
          <a:off x="13306425" y="9982200"/>
          <a:ext cx="428625" cy="4381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381000</xdr:colOff>
      <xdr:row>48</xdr:row>
      <xdr:rowOff>142875</xdr:rowOff>
    </xdr:from>
    <xdr:to>
      <xdr:col>17</xdr:col>
      <xdr:colOff>47625</xdr:colOff>
      <xdr:row>50</xdr:row>
      <xdr:rowOff>180975</xdr:rowOff>
    </xdr:to>
    <xdr:sp macro="" textlink="" fLocksText="0">
      <xdr:nvSpPr>
        <xdr:cNvPr id="42" name="Rectangle 12"/>
        <xdr:cNvSpPr>
          <a:spLocks noChangeArrowheads="1"/>
        </xdr:cNvSpPr>
      </xdr:nvSpPr>
      <xdr:spPr bwMode="auto">
        <a:xfrm>
          <a:off x="9753600" y="995362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xdr:col>
      <xdr:colOff>190501</xdr:colOff>
      <xdr:row>48</xdr:row>
      <xdr:rowOff>66676</xdr:rowOff>
    </xdr:from>
    <xdr:to>
      <xdr:col>1</xdr:col>
      <xdr:colOff>304801</xdr:colOff>
      <xdr:row>52</xdr:row>
      <xdr:rowOff>142876</xdr:rowOff>
    </xdr:to>
    <xdr:sp macro="" textlink="">
      <xdr:nvSpPr>
        <xdr:cNvPr id="44" name="左中かっこ 43"/>
        <xdr:cNvSpPr/>
      </xdr:nvSpPr>
      <xdr:spPr bwMode="auto">
        <a:xfrm>
          <a:off x="285751" y="9744076"/>
          <a:ext cx="114300" cy="838200"/>
        </a:xfrm>
        <a:prstGeom prst="leftBrace">
          <a:avLst/>
        </a:prstGeom>
        <a:solidFill>
          <a:srgbClr val="FFFFFF"/>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114300</xdr:colOff>
      <xdr:row>13</xdr:row>
      <xdr:rowOff>104775</xdr:rowOff>
    </xdr:from>
    <xdr:to>
      <xdr:col>16</xdr:col>
      <xdr:colOff>514350</xdr:colOff>
      <xdr:row>13</xdr:row>
      <xdr:rowOff>104775</xdr:rowOff>
    </xdr:to>
    <xdr:sp macro="" textlink="">
      <xdr:nvSpPr>
        <xdr:cNvPr id="10241" name="Line 2"/>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0242" name="Line 3"/>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0243" name="Line 4"/>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0244" name="Line 5"/>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twoCellAnchor>
    <xdr:from>
      <xdr:col>15</xdr:col>
      <xdr:colOff>114300</xdr:colOff>
      <xdr:row>13</xdr:row>
      <xdr:rowOff>104775</xdr:rowOff>
    </xdr:from>
    <xdr:to>
      <xdr:col>16</xdr:col>
      <xdr:colOff>514350</xdr:colOff>
      <xdr:row>13</xdr:row>
      <xdr:rowOff>104775</xdr:rowOff>
    </xdr:to>
    <xdr:sp macro="" textlink="">
      <xdr:nvSpPr>
        <xdr:cNvPr id="10245" name="Line 2"/>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0246" name="Line 3"/>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0247" name="Line 4"/>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0248" name="Line 5"/>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114300</xdr:colOff>
      <xdr:row>13</xdr:row>
      <xdr:rowOff>104775</xdr:rowOff>
    </xdr:from>
    <xdr:to>
      <xdr:col>16</xdr:col>
      <xdr:colOff>514350</xdr:colOff>
      <xdr:row>13</xdr:row>
      <xdr:rowOff>104775</xdr:rowOff>
    </xdr:to>
    <xdr:sp macro="" textlink="">
      <xdr:nvSpPr>
        <xdr:cNvPr id="11265" name="Line 2"/>
        <xdr:cNvSpPr>
          <a:spLocks noChangeShapeType="1"/>
        </xdr:cNvSpPr>
      </xdr:nvSpPr>
      <xdr:spPr bwMode="auto">
        <a:xfrm>
          <a:off x="8220075" y="3248025"/>
          <a:ext cx="102870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1266" name="Line 3"/>
        <xdr:cNvSpPr>
          <a:spLocks noChangeShapeType="1"/>
        </xdr:cNvSpPr>
      </xdr:nvSpPr>
      <xdr:spPr bwMode="auto">
        <a:xfrm>
          <a:off x="8181975" y="4248150"/>
          <a:ext cx="186690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1267" name="Line 4"/>
        <xdr:cNvSpPr>
          <a:spLocks noChangeShapeType="1"/>
        </xdr:cNvSpPr>
      </xdr:nvSpPr>
      <xdr:spPr bwMode="auto">
        <a:xfrm>
          <a:off x="11725275" y="3257550"/>
          <a:ext cx="9144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1268" name="Line 5"/>
        <xdr:cNvSpPr>
          <a:spLocks noChangeShapeType="1"/>
        </xdr:cNvSpPr>
      </xdr:nvSpPr>
      <xdr:spPr bwMode="auto">
        <a:xfrm>
          <a:off x="11610975" y="4248150"/>
          <a:ext cx="1038225" cy="0"/>
        </a:xfrm>
        <a:prstGeom prst="line">
          <a:avLst/>
        </a:prstGeom>
        <a:noFill/>
        <a:ln w="9360">
          <a:solidFill>
            <a:srgbClr val="000000"/>
          </a:solidFill>
          <a:miter lim="800000"/>
          <a:headEnd/>
          <a:tailEnd/>
        </a:ln>
      </xdr:spPr>
    </xdr:sp>
    <xdr:clientData/>
  </xdr:twoCellAnchor>
  <xdr:twoCellAnchor>
    <xdr:from>
      <xdr:col>15</xdr:col>
      <xdr:colOff>114300</xdr:colOff>
      <xdr:row>13</xdr:row>
      <xdr:rowOff>104775</xdr:rowOff>
    </xdr:from>
    <xdr:to>
      <xdr:col>16</xdr:col>
      <xdr:colOff>514350</xdr:colOff>
      <xdr:row>13</xdr:row>
      <xdr:rowOff>104775</xdr:rowOff>
    </xdr:to>
    <xdr:sp macro="" textlink="">
      <xdr:nvSpPr>
        <xdr:cNvPr id="14" name="Line 2"/>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5" name="Line 3"/>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6" name="Line 4"/>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7" name="Line 5"/>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twoCellAnchor>
    <xdr:from>
      <xdr:col>15</xdr:col>
      <xdr:colOff>114300</xdr:colOff>
      <xdr:row>13</xdr:row>
      <xdr:rowOff>104775</xdr:rowOff>
    </xdr:from>
    <xdr:to>
      <xdr:col>16</xdr:col>
      <xdr:colOff>514350</xdr:colOff>
      <xdr:row>13</xdr:row>
      <xdr:rowOff>104775</xdr:rowOff>
    </xdr:to>
    <xdr:sp macro="" textlink="">
      <xdr:nvSpPr>
        <xdr:cNvPr id="18" name="Line 2"/>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9" name="Line 3"/>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20" name="Line 4"/>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21" name="Line 5"/>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7</xdr:row>
      <xdr:rowOff>133350</xdr:rowOff>
    </xdr:from>
    <xdr:to>
      <xdr:col>3</xdr:col>
      <xdr:colOff>142875</xdr:colOff>
      <xdr:row>31</xdr:row>
      <xdr:rowOff>0</xdr:rowOff>
    </xdr:to>
    <xdr:graphicFrame macro="">
      <xdr:nvGraphicFramePr>
        <xdr:cNvPr id="71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66675</xdr:colOff>
      <xdr:row>40</xdr:row>
      <xdr:rowOff>95250</xdr:rowOff>
    </xdr:from>
    <xdr:to>
      <xdr:col>5</xdr:col>
      <xdr:colOff>990600</xdr:colOff>
      <xdr:row>58</xdr:row>
      <xdr:rowOff>9525</xdr:rowOff>
    </xdr:to>
    <xdr:graphicFrame macro="">
      <xdr:nvGraphicFramePr>
        <xdr:cNvPr id="7170"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190500</xdr:colOff>
      <xdr:row>66</xdr:row>
      <xdr:rowOff>76200</xdr:rowOff>
    </xdr:from>
    <xdr:to>
      <xdr:col>5</xdr:col>
      <xdr:colOff>838200</xdr:colOff>
      <xdr:row>89</xdr:row>
      <xdr:rowOff>133350</xdr:rowOff>
    </xdr:to>
    <xdr:graphicFrame macro="">
      <xdr:nvGraphicFramePr>
        <xdr:cNvPr id="717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76200</xdr:colOff>
      <xdr:row>94</xdr:row>
      <xdr:rowOff>19050</xdr:rowOff>
    </xdr:from>
    <xdr:to>
      <xdr:col>5</xdr:col>
      <xdr:colOff>1076325</xdr:colOff>
      <xdr:row>121</xdr:row>
      <xdr:rowOff>66675</xdr:rowOff>
    </xdr:to>
    <xdr:graphicFrame macro="">
      <xdr:nvGraphicFramePr>
        <xdr:cNvPr id="717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790575</xdr:colOff>
      <xdr:row>37</xdr:row>
      <xdr:rowOff>9525</xdr:rowOff>
    </xdr:from>
    <xdr:to>
      <xdr:col>2</xdr:col>
      <xdr:colOff>238125</xdr:colOff>
      <xdr:row>38</xdr:row>
      <xdr:rowOff>57150</xdr:rowOff>
    </xdr:to>
    <xdr:sp macro="" textlink="">
      <xdr:nvSpPr>
        <xdr:cNvPr id="465925" name="Text Box 11"/>
        <xdr:cNvSpPr txBox="1">
          <a:spLocks noChangeArrowheads="1"/>
        </xdr:cNvSpPr>
      </xdr:nvSpPr>
      <xdr:spPr bwMode="auto">
        <a:xfrm>
          <a:off x="790575" y="6419850"/>
          <a:ext cx="1790700"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28</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男</a:t>
          </a:r>
        </a:p>
      </xdr:txBody>
    </xdr:sp>
    <xdr:clientData/>
  </xdr:twoCellAnchor>
  <xdr:twoCellAnchor>
    <xdr:from>
      <xdr:col>3</xdr:col>
      <xdr:colOff>857250</xdr:colOff>
      <xdr:row>37</xdr:row>
      <xdr:rowOff>9525</xdr:rowOff>
    </xdr:from>
    <xdr:to>
      <xdr:col>5</xdr:col>
      <xdr:colOff>276225</xdr:colOff>
      <xdr:row>38</xdr:row>
      <xdr:rowOff>66675</xdr:rowOff>
    </xdr:to>
    <xdr:sp macro="" textlink="">
      <xdr:nvSpPr>
        <xdr:cNvPr id="465926" name="Text Box 12"/>
        <xdr:cNvSpPr txBox="1">
          <a:spLocks noChangeArrowheads="1"/>
        </xdr:cNvSpPr>
      </xdr:nvSpPr>
      <xdr:spPr bwMode="auto">
        <a:xfrm>
          <a:off x="4371975" y="6419850"/>
          <a:ext cx="1762125"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28</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女</a:t>
          </a:r>
        </a:p>
      </xdr:txBody>
    </xdr:sp>
    <xdr:clientData/>
  </xdr:twoCellAnchor>
  <xdr:twoCellAnchor editAs="oneCell">
    <xdr:from>
      <xdr:col>0</xdr:col>
      <xdr:colOff>314325</xdr:colOff>
      <xdr:row>125</xdr:row>
      <xdr:rowOff>123825</xdr:rowOff>
    </xdr:from>
    <xdr:to>
      <xdr:col>5</xdr:col>
      <xdr:colOff>1095375</xdr:colOff>
      <xdr:row>150</xdr:row>
      <xdr:rowOff>19050</xdr:rowOff>
    </xdr:to>
    <xdr:graphicFrame macro="">
      <xdr:nvGraphicFramePr>
        <xdr:cNvPr id="717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161925</xdr:colOff>
      <xdr:row>6</xdr:row>
      <xdr:rowOff>9525</xdr:rowOff>
    </xdr:from>
    <xdr:to>
      <xdr:col>5</xdr:col>
      <xdr:colOff>390525</xdr:colOff>
      <xdr:row>7</xdr:row>
      <xdr:rowOff>19050</xdr:rowOff>
    </xdr:to>
    <xdr:sp macro="" textlink="">
      <xdr:nvSpPr>
        <xdr:cNvPr id="466066" name="Text Box 19"/>
        <xdr:cNvSpPr txBox="1">
          <a:spLocks noChangeArrowheads="1"/>
        </xdr:cNvSpPr>
      </xdr:nvSpPr>
      <xdr:spPr bwMode="auto">
        <a:xfrm>
          <a:off x="4848225" y="1104900"/>
          <a:ext cx="1400175" cy="18097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28</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xdr:txBody>
    </xdr:sp>
    <xdr:clientData/>
  </xdr:twoCellAnchor>
  <xdr:twoCellAnchor>
    <xdr:from>
      <xdr:col>12</xdr:col>
      <xdr:colOff>0</xdr:colOff>
      <xdr:row>191</xdr:row>
      <xdr:rowOff>0</xdr:rowOff>
    </xdr:from>
    <xdr:to>
      <xdr:col>12</xdr:col>
      <xdr:colOff>0</xdr:colOff>
      <xdr:row>191</xdr:row>
      <xdr:rowOff>0</xdr:rowOff>
    </xdr:to>
    <xdr:sp macro="" textlink="">
      <xdr:nvSpPr>
        <xdr:cNvPr id="7177" name="Line 20"/>
        <xdr:cNvSpPr>
          <a:spLocks noChangeShapeType="1"/>
        </xdr:cNvSpPr>
      </xdr:nvSpPr>
      <xdr:spPr bwMode="auto">
        <a:xfrm>
          <a:off x="12963525" y="32813625"/>
          <a:ext cx="0" cy="0"/>
        </a:xfrm>
        <a:prstGeom prst="line">
          <a:avLst/>
        </a:prstGeom>
        <a:noFill/>
        <a:ln w="9525">
          <a:solidFill>
            <a:srgbClr val="000000"/>
          </a:solidFill>
          <a:round/>
          <a:headEnd/>
          <a:tailEnd/>
        </a:ln>
      </xdr:spPr>
    </xdr:sp>
    <xdr:clientData/>
  </xdr:twoCellAnchor>
  <xdr:twoCellAnchor>
    <xdr:from>
      <xdr:col>2</xdr:col>
      <xdr:colOff>885825</xdr:colOff>
      <xdr:row>64</xdr:row>
      <xdr:rowOff>161925</xdr:rowOff>
    </xdr:from>
    <xdr:to>
      <xdr:col>3</xdr:col>
      <xdr:colOff>762000</xdr:colOff>
      <xdr:row>66</xdr:row>
      <xdr:rowOff>28575</xdr:rowOff>
    </xdr:to>
    <xdr:sp macro="" textlink="">
      <xdr:nvSpPr>
        <xdr:cNvPr id="4132" name="Text Box 36"/>
        <xdr:cNvSpPr txBox="1">
          <a:spLocks noChangeArrowheads="1"/>
        </xdr:cNvSpPr>
      </xdr:nvSpPr>
      <xdr:spPr bwMode="auto">
        <a:xfrm>
          <a:off x="3048000" y="11239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18</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28</a:t>
          </a:r>
          <a:r>
            <a:rPr lang="ja-JP" altLang="en-US" sz="1000" b="0" i="0" u="none" strike="noStrike" baseline="0">
              <a:solidFill>
                <a:srgbClr val="000000"/>
              </a:solidFill>
              <a:latin typeface="ＭＳ ゴシック"/>
              <a:ea typeface="ＭＳ ゴシック"/>
            </a:rPr>
            <a:t>年</a:t>
          </a:r>
        </a:p>
      </xdr:txBody>
    </xdr:sp>
    <xdr:clientData/>
  </xdr:twoCellAnchor>
  <xdr:twoCellAnchor>
    <xdr:from>
      <xdr:col>2</xdr:col>
      <xdr:colOff>752474</xdr:colOff>
      <xdr:row>93</xdr:row>
      <xdr:rowOff>47624</xdr:rowOff>
    </xdr:from>
    <xdr:to>
      <xdr:col>3</xdr:col>
      <xdr:colOff>695324</xdr:colOff>
      <xdr:row>94</xdr:row>
      <xdr:rowOff>95249</xdr:rowOff>
    </xdr:to>
    <xdr:sp macro="" textlink="">
      <xdr:nvSpPr>
        <xdr:cNvPr id="4133" name="Text Box 37"/>
        <xdr:cNvSpPr txBox="1">
          <a:spLocks noChangeArrowheads="1"/>
        </xdr:cNvSpPr>
      </xdr:nvSpPr>
      <xdr:spPr bwMode="auto">
        <a:xfrm>
          <a:off x="3095624" y="16059149"/>
          <a:ext cx="1114425"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18</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28</a:t>
          </a:r>
          <a:r>
            <a:rPr lang="ja-JP" altLang="en-US" sz="1000" b="0" i="0" u="none" strike="noStrike" baseline="0">
              <a:solidFill>
                <a:srgbClr val="000000"/>
              </a:solidFill>
              <a:latin typeface="ＭＳ ゴシック"/>
              <a:ea typeface="ＭＳ ゴシック"/>
            </a:rPr>
            <a:t>年</a:t>
          </a:r>
        </a:p>
      </xdr:txBody>
    </xdr:sp>
    <xdr:clientData/>
  </xdr:twoCellAnchor>
  <xdr:twoCellAnchor>
    <xdr:from>
      <xdr:col>4</xdr:col>
      <xdr:colOff>790575</xdr:colOff>
      <xdr:row>190</xdr:row>
      <xdr:rowOff>9525</xdr:rowOff>
    </xdr:from>
    <xdr:to>
      <xdr:col>4</xdr:col>
      <xdr:colOff>1038225</xdr:colOff>
      <xdr:row>190</xdr:row>
      <xdr:rowOff>161925</xdr:rowOff>
    </xdr:to>
    <xdr:sp macro="" textlink="">
      <xdr:nvSpPr>
        <xdr:cNvPr id="4145" name="Text Box 49"/>
        <xdr:cNvSpPr txBox="1">
          <a:spLocks noChangeArrowheads="1"/>
        </xdr:cNvSpPr>
      </xdr:nvSpPr>
      <xdr:spPr bwMode="auto">
        <a:xfrm>
          <a:off x="3076575" y="32632650"/>
          <a:ext cx="24765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歳</a:t>
          </a:r>
        </a:p>
      </xdr:txBody>
    </xdr:sp>
    <xdr:clientData/>
  </xdr:twoCellAnchor>
  <xdr:twoCellAnchor>
    <xdr:from>
      <xdr:col>2</xdr:col>
      <xdr:colOff>1162050</xdr:colOff>
      <xdr:row>7</xdr:row>
      <xdr:rowOff>114300</xdr:rowOff>
    </xdr:from>
    <xdr:to>
      <xdr:col>6</xdr:col>
      <xdr:colOff>276225</xdr:colOff>
      <xdr:row>34</xdr:row>
      <xdr:rowOff>66675</xdr:rowOff>
    </xdr:to>
    <xdr:graphicFrame macro="">
      <xdr:nvGraphicFramePr>
        <xdr:cNvPr id="7181" name="Chart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66675</xdr:colOff>
      <xdr:row>157</xdr:row>
      <xdr:rowOff>85725</xdr:rowOff>
    </xdr:from>
    <xdr:to>
      <xdr:col>2</xdr:col>
      <xdr:colOff>495300</xdr:colOff>
      <xdr:row>179</xdr:row>
      <xdr:rowOff>66675</xdr:rowOff>
    </xdr:to>
    <xdr:graphicFrame macro="">
      <xdr:nvGraphicFramePr>
        <xdr:cNvPr id="718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123825</xdr:colOff>
      <xdr:row>40</xdr:row>
      <xdr:rowOff>28575</xdr:rowOff>
    </xdr:from>
    <xdr:to>
      <xdr:col>2</xdr:col>
      <xdr:colOff>1133475</xdr:colOff>
      <xdr:row>58</xdr:row>
      <xdr:rowOff>123825</xdr:rowOff>
    </xdr:to>
    <xdr:graphicFrame macro="">
      <xdr:nvGraphicFramePr>
        <xdr:cNvPr id="7187" name="Chart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xdr:col>
      <xdr:colOff>561975</xdr:colOff>
      <xdr:row>160</xdr:row>
      <xdr:rowOff>85725</xdr:rowOff>
    </xdr:from>
    <xdr:to>
      <xdr:col>5</xdr:col>
      <xdr:colOff>1133475</xdr:colOff>
      <xdr:row>176</xdr:row>
      <xdr:rowOff>104775</xdr:rowOff>
    </xdr:to>
    <xdr:pic>
      <xdr:nvPicPr>
        <xdr:cNvPr id="7188" name="Picture 4"/>
        <xdr:cNvPicPr>
          <a:picLocks noChangeAspect="1" noChangeArrowheads="1"/>
        </xdr:cNvPicPr>
      </xdr:nvPicPr>
      <xdr:blipFill>
        <a:blip xmlns:r="http://schemas.openxmlformats.org/officeDocument/2006/relationships" r:embed="rId9" cstate="print"/>
        <a:srcRect/>
        <a:stretch>
          <a:fillRect/>
        </a:stretch>
      </xdr:blipFill>
      <xdr:spPr bwMode="auto">
        <a:xfrm>
          <a:off x="2905125" y="27584400"/>
          <a:ext cx="4086225" cy="2762250"/>
        </a:xfrm>
        <a:prstGeom prst="rect">
          <a:avLst/>
        </a:prstGeom>
        <a:noFill/>
        <a:ln w="9525">
          <a:noFill/>
          <a:miter lim="800000"/>
          <a:headEnd/>
          <a:tailEnd/>
        </a:ln>
      </xdr:spPr>
    </xdr:pic>
    <xdr:clientData/>
  </xdr:twoCellAnchor>
  <xdr:twoCellAnchor>
    <xdr:from>
      <xdr:col>2</xdr:col>
      <xdr:colOff>1000125</xdr:colOff>
      <xdr:row>186</xdr:row>
      <xdr:rowOff>38100</xdr:rowOff>
    </xdr:from>
    <xdr:to>
      <xdr:col>5</xdr:col>
      <xdr:colOff>1123950</xdr:colOff>
      <xdr:row>210</xdr:row>
      <xdr:rowOff>142875</xdr:rowOff>
    </xdr:to>
    <xdr:graphicFrame macro="">
      <xdr:nvGraphicFramePr>
        <xdr:cNvPr id="7189"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609600</xdr:colOff>
      <xdr:row>124</xdr:row>
      <xdr:rowOff>28575</xdr:rowOff>
    </xdr:from>
    <xdr:to>
      <xdr:col>3</xdr:col>
      <xdr:colOff>790575</xdr:colOff>
      <xdr:row>125</xdr:row>
      <xdr:rowOff>76200</xdr:rowOff>
    </xdr:to>
    <xdr:sp macro="" textlink="">
      <xdr:nvSpPr>
        <xdr:cNvPr id="465958" name="Text Box 37"/>
        <xdr:cNvSpPr txBox="1">
          <a:spLocks noChangeArrowheads="1"/>
        </xdr:cNvSpPr>
      </xdr:nvSpPr>
      <xdr:spPr bwMode="auto">
        <a:xfrm>
          <a:off x="2857500" y="21545550"/>
          <a:ext cx="1352550"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各年</a:t>
          </a:r>
          <a:r>
            <a:rPr lang="en-US" altLang="ja-JP" sz="1000" b="0" i="0" u="none" strike="noStrike" baseline="0">
              <a:solidFill>
                <a:srgbClr val="000000"/>
              </a:solidFill>
              <a:latin typeface="ＭＳ ゴシック"/>
              <a:ea typeface="ＭＳ ゴシック"/>
            </a:rPr>
            <a:t>10</a:t>
          </a:r>
          <a:r>
            <a:rPr lang="ja-JP" altLang="en-US" sz="1000" b="0" i="0" u="none" strike="noStrike" baseline="0">
              <a:solidFill>
                <a:srgbClr val="000000"/>
              </a:solidFill>
              <a:latin typeface="ＭＳ ゴシック"/>
              <a:ea typeface="ＭＳ ゴシック"/>
            </a:rPr>
            <a:t>月１日現在</a:t>
          </a:r>
        </a:p>
      </xdr:txBody>
    </xdr:sp>
    <xdr:clientData/>
  </xdr:twoCellAnchor>
  <xdr:twoCellAnchor>
    <xdr:from>
      <xdr:col>0</xdr:col>
      <xdr:colOff>85725</xdr:colOff>
      <xdr:row>186</xdr:row>
      <xdr:rowOff>104775</xdr:rowOff>
    </xdr:from>
    <xdr:to>
      <xdr:col>2</xdr:col>
      <xdr:colOff>895350</xdr:colOff>
      <xdr:row>210</xdr:row>
      <xdr:rowOff>104775</xdr:rowOff>
    </xdr:to>
    <xdr:graphicFrame macro="">
      <xdr:nvGraphicFramePr>
        <xdr:cNvPr id="7191"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twoCellAnchor>
  <xdr:twoCellAnchor>
    <xdr:from>
      <xdr:col>0</xdr:col>
      <xdr:colOff>95250</xdr:colOff>
      <xdr:row>215</xdr:row>
      <xdr:rowOff>9525</xdr:rowOff>
    </xdr:from>
    <xdr:to>
      <xdr:col>3</xdr:col>
      <xdr:colOff>1123950</xdr:colOff>
      <xdr:row>243</xdr:row>
      <xdr:rowOff>57150</xdr:rowOff>
    </xdr:to>
    <xdr:graphicFrame macro="">
      <xdr:nvGraphicFramePr>
        <xdr:cNvPr id="719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209550</xdr:colOff>
      <xdr:row>215</xdr:row>
      <xdr:rowOff>19050</xdr:rowOff>
    </xdr:from>
    <xdr:to>
      <xdr:col>5</xdr:col>
      <xdr:colOff>1085850</xdr:colOff>
      <xdr:row>243</xdr:row>
      <xdr:rowOff>38100</xdr:rowOff>
    </xdr:to>
    <xdr:graphicFrame macro="">
      <xdr:nvGraphicFramePr>
        <xdr:cNvPr id="7193"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0.42742</cdr:x>
      <cdr:y>0.4402</cdr:y>
    </cdr:from>
    <cdr:to>
      <cdr:x>0.62234</cdr:x>
      <cdr:y>0.5873</cdr:y>
    </cdr:to>
    <cdr:sp macro="" textlink="">
      <cdr:nvSpPr>
        <cdr:cNvPr id="531457" name="Text Box 2051"/>
        <cdr:cNvSpPr txBox="1">
          <a:spLocks xmlns:a="http://schemas.openxmlformats.org/drawingml/2006/main" noChangeArrowheads="1"/>
        </cdr:cNvSpPr>
      </cdr:nvSpPr>
      <cdr:spPr bwMode="auto">
        <a:xfrm xmlns:a="http://schemas.openxmlformats.org/drawingml/2006/main">
          <a:off x="1396413" y="1320765"/>
          <a:ext cx="636818" cy="44136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女（総数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        58,550</a:t>
          </a:r>
          <a:r>
            <a:rPr lang="ja-JP" altLang="en-US" sz="1000" b="0" i="0" u="none" strike="noStrike" baseline="0">
              <a:solidFill>
                <a:srgbClr val="000000"/>
              </a:solidFill>
              <a:latin typeface="ＭＳ Ｐゴシック"/>
              <a:ea typeface="ＭＳ Ｐゴシック"/>
            </a:rPr>
            <a:t>人</a:t>
          </a:r>
          <a:endParaRPr lang="ja-JP" altLang="en-US" sz="825" b="0" i="0" u="none" strike="noStrike" baseline="0">
            <a:solidFill>
              <a:srgbClr val="000000"/>
            </a:solidFill>
            <a:latin typeface="ＭＳ Ｐゴシック"/>
            <a:ea typeface="ＭＳ Ｐゴシック"/>
          </a:endParaRPr>
        </a:p>
        <a:p xmlns:a="http://schemas.openxmlformats.org/drawingml/2006/main">
          <a:pPr algn="ctr" rtl="0">
            <a:defRPr sz="1000"/>
          </a:pPr>
          <a:r>
            <a:rPr lang="ja-JP" altLang="en-US" sz="825" b="0" i="0" u="none" strike="noStrike" baseline="0">
              <a:solidFill>
                <a:srgbClr val="000000"/>
              </a:solidFill>
              <a:latin typeface="ＭＳ Ｐゴシック"/>
              <a:ea typeface="ＭＳ Ｐゴシック"/>
            </a:rPr>
            <a:t>　　　　　　</a:t>
          </a:r>
        </a:p>
      </cdr:txBody>
    </cdr:sp>
  </cdr:relSizeAnchor>
</c:userShapes>
</file>

<file path=xl/drawings/drawing7.xml><?xml version="1.0" encoding="utf-8"?>
<c:userShapes xmlns:c="http://schemas.openxmlformats.org/drawingml/2006/chart">
  <cdr:relSizeAnchor xmlns:cdr="http://schemas.openxmlformats.org/drawingml/2006/chartDrawing">
    <cdr:from>
      <cdr:x>0.36933</cdr:x>
      <cdr:y>0.44968</cdr:y>
    </cdr:from>
    <cdr:to>
      <cdr:x>0.59864</cdr:x>
      <cdr:y>0.58044</cdr:y>
    </cdr:to>
    <cdr:sp macro="" textlink="">
      <cdr:nvSpPr>
        <cdr:cNvPr id="139265" name="Text Box 1"/>
        <cdr:cNvSpPr txBox="1">
          <a:spLocks xmlns:a="http://schemas.openxmlformats.org/drawingml/2006/main" noChangeArrowheads="1"/>
        </cdr:cNvSpPr>
      </cdr:nvSpPr>
      <cdr:spPr bwMode="auto">
        <a:xfrm xmlns:a="http://schemas.openxmlformats.org/drawingml/2006/main">
          <a:off x="1238290" y="1357774"/>
          <a:ext cx="768830" cy="394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男（総数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a:p xmlns:a="http://schemas.openxmlformats.org/drawingml/2006/main">
          <a:pPr algn="ctr" rtl="0">
            <a:defRPr sz="1000"/>
          </a:pPr>
          <a:r>
            <a:rPr lang="en-US" altLang="ja-JP" sz="1000" b="0" i="0" u="none" strike="noStrike" baseline="0">
              <a:solidFill>
                <a:srgbClr val="000000"/>
              </a:solidFill>
              <a:latin typeface="ＭＳ Ｐゴシック"/>
              <a:ea typeface="ＭＳ Ｐゴシック"/>
            </a:rPr>
            <a:t>55,787</a:t>
          </a:r>
          <a:r>
            <a:rPr lang="ja-JP" altLang="en-US" sz="1000" b="0" i="0" u="none" strike="noStrike" baseline="0">
              <a:solidFill>
                <a:srgbClr val="000000"/>
              </a:solidFill>
              <a:latin typeface="ＭＳ Ｐゴシック"/>
              <a:ea typeface="ＭＳ Ｐゴシック"/>
            </a:rPr>
            <a:t>人　　</a:t>
          </a:r>
          <a:r>
            <a:rPr lang="ja-JP" altLang="en-US" sz="800" b="0" i="0" u="none" strike="noStrike" baseline="0">
              <a:solidFill>
                <a:srgbClr val="000000"/>
              </a:solidFill>
              <a:latin typeface="ＭＳ Ｐゴシック"/>
              <a:ea typeface="ＭＳ Ｐゴシック"/>
            </a:rPr>
            <a:t>　　　　</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tabSelected="1" view="pageBreakPreview" zoomScaleNormal="100" zoomScaleSheetLayoutView="100" workbookViewId="0">
      <selection activeCell="E46" sqref="E46"/>
    </sheetView>
  </sheetViews>
  <sheetFormatPr defaultRowHeight="17.100000000000001" customHeight="1"/>
  <cols>
    <col min="1" max="1" width="8.625" style="395" customWidth="1"/>
    <col min="2" max="2" width="9.625" style="395" customWidth="1"/>
    <col min="3" max="3" width="10.375" style="395" customWidth="1"/>
    <col min="4" max="4" width="10.25" style="395" bestFit="1" customWidth="1"/>
    <col min="5" max="5" width="9.5" style="395" customWidth="1"/>
    <col min="6" max="6" width="9.125" style="395" bestFit="1" customWidth="1"/>
    <col min="7" max="8" width="8.875" style="395" customWidth="1"/>
    <col min="9" max="9" width="7.5" style="395" customWidth="1"/>
    <col min="10" max="10" width="8.75" style="395" customWidth="1"/>
    <col min="11" max="16384" width="9" style="395"/>
  </cols>
  <sheetData>
    <row r="1" spans="1:14" ht="30" customHeight="1">
      <c r="A1" s="1097" t="s">
        <v>731</v>
      </c>
      <c r="B1" s="394"/>
      <c r="C1" s="394"/>
      <c r="D1" s="394"/>
      <c r="E1" s="394"/>
      <c r="F1" s="394"/>
      <c r="G1" s="394"/>
      <c r="H1" s="394"/>
      <c r="I1" s="394"/>
      <c r="J1" s="394"/>
    </row>
    <row r="2" spans="1:14" ht="15" customHeight="1">
      <c r="A2" s="396"/>
      <c r="B2" s="140"/>
      <c r="C2" s="140"/>
      <c r="D2" s="140"/>
      <c r="E2" s="140"/>
      <c r="F2" s="140"/>
      <c r="G2" s="140"/>
      <c r="H2" s="140"/>
      <c r="I2" s="140"/>
      <c r="J2" s="140"/>
    </row>
    <row r="3" spans="1:14" ht="15" customHeight="1" thickBot="1">
      <c r="A3" s="396" t="s">
        <v>422</v>
      </c>
      <c r="B3" s="140"/>
      <c r="C3" s="140"/>
      <c r="D3" s="140"/>
      <c r="E3" s="140"/>
      <c r="F3" s="140"/>
      <c r="G3" s="140"/>
      <c r="H3" s="140"/>
      <c r="I3" s="396"/>
      <c r="J3" s="397" t="s">
        <v>423</v>
      </c>
    </row>
    <row r="4" spans="1:14" ht="20.100000000000001" customHeight="1">
      <c r="A4" s="796" t="s">
        <v>424</v>
      </c>
      <c r="B4" s="798" t="s">
        <v>425</v>
      </c>
      <c r="C4" s="800" t="s">
        <v>426</v>
      </c>
      <c r="D4" s="801"/>
      <c r="E4" s="802"/>
      <c r="F4" s="398" t="s">
        <v>427</v>
      </c>
      <c r="G4" s="800" t="s">
        <v>19</v>
      </c>
      <c r="H4" s="802"/>
      <c r="I4" s="800" t="s">
        <v>19</v>
      </c>
      <c r="J4" s="809"/>
    </row>
    <row r="5" spans="1:14" ht="20.100000000000001" customHeight="1">
      <c r="A5" s="797"/>
      <c r="B5" s="799"/>
      <c r="C5" s="400" t="s">
        <v>428</v>
      </c>
      <c r="D5" s="400" t="s">
        <v>429</v>
      </c>
      <c r="E5" s="400" t="s">
        <v>430</v>
      </c>
      <c r="F5" s="399" t="s">
        <v>431</v>
      </c>
      <c r="G5" s="810" t="s">
        <v>23</v>
      </c>
      <c r="H5" s="811"/>
      <c r="I5" s="810" t="s">
        <v>24</v>
      </c>
      <c r="J5" s="812"/>
    </row>
    <row r="6" spans="1:14" ht="17.100000000000001" customHeight="1">
      <c r="A6" s="450" t="s">
        <v>633</v>
      </c>
      <c r="B6" s="402">
        <v>41778</v>
      </c>
      <c r="C6" s="133">
        <v>109417</v>
      </c>
      <c r="D6" s="133">
        <v>53757</v>
      </c>
      <c r="E6" s="133">
        <v>55660</v>
      </c>
      <c r="F6" s="136">
        <f t="shared" ref="F6:F11" si="0">ROUND(C6/B6,2)</f>
        <v>2.62</v>
      </c>
      <c r="G6" s="805">
        <v>786</v>
      </c>
      <c r="H6" s="805"/>
      <c r="I6" s="803">
        <f>G6/C6</f>
        <v>7.1835272398256215E-3</v>
      </c>
      <c r="J6" s="804"/>
      <c r="L6" s="401"/>
      <c r="M6" s="401"/>
      <c r="N6" s="401"/>
    </row>
    <row r="7" spans="1:14" s="403" customFormat="1" ht="17.100000000000001" customHeight="1">
      <c r="A7" s="450">
        <v>20</v>
      </c>
      <c r="B7" s="134">
        <v>42504</v>
      </c>
      <c r="C7" s="135">
        <v>110106</v>
      </c>
      <c r="D7" s="135">
        <v>53971</v>
      </c>
      <c r="E7" s="135">
        <v>56135</v>
      </c>
      <c r="F7" s="136">
        <f t="shared" si="0"/>
        <v>2.59</v>
      </c>
      <c r="G7" s="806">
        <f t="shared" ref="G7:G12" si="1">C7-C6</f>
        <v>689</v>
      </c>
      <c r="H7" s="806"/>
      <c r="I7" s="807">
        <f>G7/C7</f>
        <v>6.2576063066499552E-3</v>
      </c>
      <c r="J7" s="808"/>
      <c r="L7" s="404"/>
      <c r="M7" s="404"/>
      <c r="N7" s="404"/>
    </row>
    <row r="8" spans="1:14" ht="17.100000000000001" customHeight="1">
      <c r="A8" s="450">
        <v>21</v>
      </c>
      <c r="B8" s="134">
        <v>43263</v>
      </c>
      <c r="C8" s="135">
        <v>110989</v>
      </c>
      <c r="D8" s="135">
        <v>54426</v>
      </c>
      <c r="E8" s="135">
        <v>56563</v>
      </c>
      <c r="F8" s="136">
        <f t="shared" si="0"/>
        <v>2.57</v>
      </c>
      <c r="G8" s="806">
        <f t="shared" si="1"/>
        <v>883</v>
      </c>
      <c r="H8" s="806"/>
      <c r="I8" s="807">
        <f t="shared" ref="I8:I14" si="2">G8/C8</f>
        <v>7.9557433619547886E-3</v>
      </c>
      <c r="J8" s="808"/>
      <c r="L8" s="401"/>
      <c r="M8" s="401"/>
      <c r="N8" s="401"/>
    </row>
    <row r="9" spans="1:14" ht="17.100000000000001" customHeight="1">
      <c r="A9" s="450">
        <v>22</v>
      </c>
      <c r="B9" s="135">
        <v>43849</v>
      </c>
      <c r="C9" s="135">
        <v>111595</v>
      </c>
      <c r="D9" s="135">
        <v>54612</v>
      </c>
      <c r="E9" s="135">
        <v>56983</v>
      </c>
      <c r="F9" s="136">
        <f t="shared" si="0"/>
        <v>2.54</v>
      </c>
      <c r="G9" s="806">
        <f t="shared" si="1"/>
        <v>606</v>
      </c>
      <c r="H9" s="806"/>
      <c r="I9" s="807">
        <f t="shared" si="2"/>
        <v>5.4303508221694519E-3</v>
      </c>
      <c r="J9" s="808"/>
      <c r="L9" s="401"/>
      <c r="M9" s="401"/>
      <c r="N9" s="401"/>
    </row>
    <row r="10" spans="1:14" s="403" customFormat="1" ht="17.100000000000001" customHeight="1">
      <c r="A10" s="450">
        <v>23</v>
      </c>
      <c r="B10" s="134">
        <v>44675</v>
      </c>
      <c r="C10" s="135">
        <v>112277</v>
      </c>
      <c r="D10" s="135">
        <v>54927</v>
      </c>
      <c r="E10" s="135">
        <v>57350</v>
      </c>
      <c r="F10" s="136">
        <f t="shared" si="0"/>
        <v>2.5099999999999998</v>
      </c>
      <c r="G10" s="806">
        <f t="shared" si="1"/>
        <v>682</v>
      </c>
      <c r="H10" s="806"/>
      <c r="I10" s="807">
        <f t="shared" si="2"/>
        <v>6.074262760850397E-3</v>
      </c>
      <c r="J10" s="808"/>
      <c r="L10" s="404"/>
      <c r="M10" s="404"/>
      <c r="N10" s="404"/>
    </row>
    <row r="11" spans="1:14" s="403" customFormat="1" ht="17.100000000000001" customHeight="1">
      <c r="A11" s="450">
        <v>24</v>
      </c>
      <c r="B11" s="134">
        <v>45783</v>
      </c>
      <c r="C11" s="135">
        <v>113745</v>
      </c>
      <c r="D11" s="135">
        <v>55780</v>
      </c>
      <c r="E11" s="135">
        <v>57965</v>
      </c>
      <c r="F11" s="136">
        <f t="shared" si="0"/>
        <v>2.48</v>
      </c>
      <c r="G11" s="806">
        <f t="shared" si="1"/>
        <v>1468</v>
      </c>
      <c r="H11" s="806"/>
      <c r="I11" s="807">
        <f t="shared" si="2"/>
        <v>1.2906061804914501E-2</v>
      </c>
      <c r="J11" s="808"/>
      <c r="L11" s="404"/>
      <c r="M11" s="404"/>
      <c r="N11" s="404"/>
    </row>
    <row r="12" spans="1:14" ht="17.100000000000001" customHeight="1">
      <c r="A12" s="450">
        <v>25</v>
      </c>
      <c r="B12" s="135">
        <v>46416</v>
      </c>
      <c r="C12" s="135">
        <v>114217</v>
      </c>
      <c r="D12" s="135">
        <v>55949</v>
      </c>
      <c r="E12" s="135">
        <v>58268</v>
      </c>
      <c r="F12" s="136">
        <f>ROUND(C12/B12,2)</f>
        <v>2.46</v>
      </c>
      <c r="G12" s="813">
        <f t="shared" si="1"/>
        <v>472</v>
      </c>
      <c r="H12" s="813"/>
      <c r="I12" s="807">
        <f t="shared" si="2"/>
        <v>4.13248465639966E-3</v>
      </c>
      <c r="J12" s="808"/>
      <c r="L12" s="401"/>
      <c r="M12" s="401"/>
      <c r="N12" s="401"/>
    </row>
    <row r="13" spans="1:14" ht="17.100000000000001" customHeight="1">
      <c r="A13" s="450">
        <v>26</v>
      </c>
      <c r="B13" s="134">
        <v>46953</v>
      </c>
      <c r="C13" s="135">
        <v>114245</v>
      </c>
      <c r="D13" s="135">
        <v>55850</v>
      </c>
      <c r="E13" s="135">
        <v>58395</v>
      </c>
      <c r="F13" s="136">
        <f>ROUND(C13/B13,2)</f>
        <v>2.4300000000000002</v>
      </c>
      <c r="G13" s="813">
        <f>C13-C12</f>
        <v>28</v>
      </c>
      <c r="H13" s="813"/>
      <c r="I13" s="807">
        <f t="shared" si="2"/>
        <v>2.4508731235502645E-4</v>
      </c>
      <c r="J13" s="808"/>
      <c r="L13" s="401"/>
      <c r="M13" s="401"/>
      <c r="N13" s="401"/>
    </row>
    <row r="14" spans="1:14" ht="17.100000000000001" customHeight="1">
      <c r="A14" s="450">
        <v>27</v>
      </c>
      <c r="B14" s="135">
        <v>47575</v>
      </c>
      <c r="C14" s="135">
        <f>SUM(D14:E14)</f>
        <v>114165</v>
      </c>
      <c r="D14" s="135">
        <v>55729</v>
      </c>
      <c r="E14" s="135">
        <v>58436</v>
      </c>
      <c r="F14" s="136">
        <f>ROUND(C14/B14,2)</f>
        <v>2.4</v>
      </c>
      <c r="G14" s="813">
        <f>C14-C13</f>
        <v>-80</v>
      </c>
      <c r="H14" s="813"/>
      <c r="I14" s="807">
        <f t="shared" si="2"/>
        <v>-7.0074015679061005E-4</v>
      </c>
      <c r="J14" s="808"/>
      <c r="L14" s="401"/>
      <c r="M14" s="401"/>
      <c r="N14" s="401"/>
    </row>
    <row r="15" spans="1:14" ht="17.100000000000001" customHeight="1" thickBot="1">
      <c r="A15" s="712">
        <v>28</v>
      </c>
      <c r="B15" s="713">
        <v>48216</v>
      </c>
      <c r="C15" s="713">
        <f>SUM(D15:E15)</f>
        <v>114337</v>
      </c>
      <c r="D15" s="713">
        <v>55787</v>
      </c>
      <c r="E15" s="713">
        <v>58550</v>
      </c>
      <c r="F15" s="714">
        <f>ROUND(C15/B15,2)</f>
        <v>2.37</v>
      </c>
      <c r="G15" s="815">
        <f>C15-C14</f>
        <v>172</v>
      </c>
      <c r="H15" s="815"/>
      <c r="I15" s="816">
        <f>G15/C15</f>
        <v>1.5043249341857841E-3</v>
      </c>
      <c r="J15" s="817"/>
      <c r="L15" s="401"/>
      <c r="M15" s="401"/>
      <c r="N15" s="401"/>
    </row>
    <row r="16" spans="1:14" ht="17.100000000000001" customHeight="1">
      <c r="A16" s="405" t="s">
        <v>550</v>
      </c>
      <c r="B16" s="140"/>
      <c r="C16" s="140"/>
      <c r="D16" s="140"/>
      <c r="E16" s="140"/>
      <c r="F16" s="140"/>
      <c r="G16" s="140"/>
      <c r="H16" s="140"/>
      <c r="I16" s="140"/>
      <c r="J16" s="397" t="s">
        <v>707</v>
      </c>
      <c r="L16" s="401"/>
      <c r="M16" s="401"/>
      <c r="N16" s="401"/>
    </row>
    <row r="17" spans="1:15" ht="15" customHeight="1">
      <c r="A17" s="396"/>
      <c r="B17" s="140"/>
      <c r="C17" s="140"/>
      <c r="D17" s="140"/>
      <c r="E17" s="140"/>
      <c r="F17" s="140"/>
      <c r="G17" s="140"/>
      <c r="H17" s="140"/>
      <c r="I17" s="140"/>
      <c r="J17" s="140"/>
      <c r="L17" s="401"/>
      <c r="M17" s="401"/>
      <c r="N17" s="401"/>
    </row>
    <row r="18" spans="1:15" ht="15" customHeight="1" thickBot="1">
      <c r="A18" s="396" t="s">
        <v>432</v>
      </c>
      <c r="B18" s="140"/>
      <c r="C18" s="140"/>
      <c r="D18" s="140"/>
      <c r="E18" s="140"/>
      <c r="F18" s="140"/>
      <c r="G18" s="140"/>
      <c r="H18" s="140"/>
      <c r="I18" s="140"/>
      <c r="J18" s="397" t="s">
        <v>423</v>
      </c>
      <c r="L18" s="401"/>
      <c r="M18" s="401"/>
    </row>
    <row r="19" spans="1:15" ht="15" customHeight="1">
      <c r="A19" s="796" t="s">
        <v>433</v>
      </c>
      <c r="B19" s="798" t="s">
        <v>425</v>
      </c>
      <c r="C19" s="800" t="s">
        <v>434</v>
      </c>
      <c r="D19" s="801"/>
      <c r="E19" s="802"/>
      <c r="F19" s="548" t="s">
        <v>435</v>
      </c>
      <c r="G19" s="800" t="s">
        <v>19</v>
      </c>
      <c r="H19" s="802"/>
      <c r="I19" s="800" t="s">
        <v>19</v>
      </c>
      <c r="J19" s="809"/>
      <c r="K19" s="405"/>
      <c r="L19" s="401"/>
      <c r="M19" s="401"/>
    </row>
    <row r="20" spans="1:15" ht="20.100000000000001" customHeight="1">
      <c r="A20" s="797"/>
      <c r="B20" s="799"/>
      <c r="C20" s="400" t="s">
        <v>436</v>
      </c>
      <c r="D20" s="400" t="s">
        <v>437</v>
      </c>
      <c r="E20" s="400" t="s">
        <v>438</v>
      </c>
      <c r="F20" s="549" t="s">
        <v>431</v>
      </c>
      <c r="G20" s="810" t="s">
        <v>23</v>
      </c>
      <c r="H20" s="811"/>
      <c r="I20" s="810" t="s">
        <v>24</v>
      </c>
      <c r="J20" s="812"/>
      <c r="K20" s="140"/>
      <c r="O20" s="401"/>
    </row>
    <row r="21" spans="1:15" ht="17.100000000000001" customHeight="1">
      <c r="A21" s="450" t="s">
        <v>633</v>
      </c>
      <c r="B21" s="402">
        <v>41146</v>
      </c>
      <c r="C21" s="133">
        <f t="shared" ref="C21:C24" si="3">D21+E21</f>
        <v>108707</v>
      </c>
      <c r="D21" s="133">
        <v>53461</v>
      </c>
      <c r="E21" s="133">
        <v>55246</v>
      </c>
      <c r="F21" s="136">
        <f t="shared" ref="F21:F27" si="4">ROUND(C21/B21,2)</f>
        <v>2.64</v>
      </c>
      <c r="G21" s="828">
        <v>727</v>
      </c>
      <c r="H21" s="828"/>
      <c r="I21" s="803">
        <f t="shared" ref="I21:I25" si="5">G21/C21</f>
        <v>6.6877018039316694E-3</v>
      </c>
      <c r="J21" s="804"/>
    </row>
    <row r="22" spans="1:15" ht="17.100000000000001" customHeight="1">
      <c r="A22" s="450">
        <v>20</v>
      </c>
      <c r="B22" s="134">
        <v>41960</v>
      </c>
      <c r="C22" s="133">
        <f t="shared" si="3"/>
        <v>109373</v>
      </c>
      <c r="D22" s="133">
        <v>53683</v>
      </c>
      <c r="E22" s="135">
        <v>55690</v>
      </c>
      <c r="F22" s="136">
        <f t="shared" si="4"/>
        <v>2.61</v>
      </c>
      <c r="G22" s="814">
        <f>C22-C21</f>
        <v>666</v>
      </c>
      <c r="H22" s="814"/>
      <c r="I22" s="807">
        <f t="shared" si="5"/>
        <v>6.0892542035054353E-3</v>
      </c>
      <c r="J22" s="808"/>
    </row>
    <row r="23" spans="1:15" ht="17.100000000000001" customHeight="1">
      <c r="A23" s="450">
        <v>21</v>
      </c>
      <c r="B23" s="134">
        <v>42695</v>
      </c>
      <c r="C23" s="133">
        <f t="shared" si="3"/>
        <v>110285</v>
      </c>
      <c r="D23" s="133">
        <v>54111</v>
      </c>
      <c r="E23" s="135">
        <v>56174</v>
      </c>
      <c r="F23" s="136">
        <f t="shared" si="4"/>
        <v>2.58</v>
      </c>
      <c r="G23" s="814">
        <f t="shared" ref="G23:G25" si="6">C23-C22</f>
        <v>912</v>
      </c>
      <c r="H23" s="814"/>
      <c r="I23" s="807">
        <f t="shared" si="5"/>
        <v>8.2694836106451466E-3</v>
      </c>
      <c r="J23" s="808"/>
    </row>
    <row r="24" spans="1:15" ht="17.100000000000001" customHeight="1">
      <c r="A24" s="450">
        <v>22</v>
      </c>
      <c r="B24" s="135">
        <v>43388</v>
      </c>
      <c r="C24" s="133">
        <f t="shared" si="3"/>
        <v>110894</v>
      </c>
      <c r="D24" s="133">
        <v>54406</v>
      </c>
      <c r="E24" s="135">
        <v>56488</v>
      </c>
      <c r="F24" s="136">
        <f t="shared" si="4"/>
        <v>2.56</v>
      </c>
      <c r="G24" s="814">
        <f t="shared" si="6"/>
        <v>609</v>
      </c>
      <c r="H24" s="814"/>
      <c r="I24" s="807">
        <f t="shared" si="5"/>
        <v>5.4917308420653959E-3</v>
      </c>
      <c r="J24" s="808"/>
    </row>
    <row r="25" spans="1:15" ht="17.100000000000001" customHeight="1">
      <c r="A25" s="450">
        <v>23</v>
      </c>
      <c r="B25" s="135">
        <v>43957</v>
      </c>
      <c r="C25" s="135">
        <f>SUM(D25,E25)</f>
        <v>111463</v>
      </c>
      <c r="D25" s="133">
        <v>54524</v>
      </c>
      <c r="E25" s="135">
        <v>56939</v>
      </c>
      <c r="F25" s="136">
        <f t="shared" si="4"/>
        <v>2.54</v>
      </c>
      <c r="G25" s="814">
        <f t="shared" si="6"/>
        <v>569</v>
      </c>
      <c r="H25" s="814"/>
      <c r="I25" s="807">
        <f t="shared" si="5"/>
        <v>5.1048329939082926E-3</v>
      </c>
      <c r="J25" s="808"/>
    </row>
    <row r="26" spans="1:15" s="403" customFormat="1" ht="17.100000000000001" customHeight="1">
      <c r="A26" s="450">
        <v>24</v>
      </c>
      <c r="B26" s="135">
        <v>44915</v>
      </c>
      <c r="C26" s="135">
        <f>SUM(D26,E26)</f>
        <v>112413</v>
      </c>
      <c r="D26" s="133">
        <v>54970</v>
      </c>
      <c r="E26" s="135">
        <v>57443</v>
      </c>
      <c r="F26" s="136">
        <f t="shared" si="4"/>
        <v>2.5</v>
      </c>
      <c r="G26" s="814">
        <f>C26-C25</f>
        <v>950</v>
      </c>
      <c r="H26" s="814"/>
      <c r="I26" s="807">
        <f>G26/C26</f>
        <v>8.4509798688763762E-3</v>
      </c>
      <c r="J26" s="808"/>
    </row>
    <row r="27" spans="1:15" s="403" customFormat="1" ht="17.100000000000001" customHeight="1">
      <c r="A27" s="450">
        <v>25</v>
      </c>
      <c r="B27" s="135">
        <v>45949</v>
      </c>
      <c r="C27" s="135">
        <f>SUM(D27,E27)</f>
        <v>113752</v>
      </c>
      <c r="D27" s="135">
        <v>55707</v>
      </c>
      <c r="E27" s="135">
        <v>58045</v>
      </c>
      <c r="F27" s="136">
        <f t="shared" si="4"/>
        <v>2.48</v>
      </c>
      <c r="G27" s="814">
        <f>C27-C26</f>
        <v>1339</v>
      </c>
      <c r="H27" s="814"/>
      <c r="I27" s="807">
        <f>G27/C27</f>
        <v>1.1771221604894858E-2</v>
      </c>
      <c r="J27" s="808"/>
      <c r="K27" s="406"/>
      <c r="L27" s="404"/>
    </row>
    <row r="28" spans="1:15" s="403" customFormat="1" ht="17.100000000000001" customHeight="1">
      <c r="A28" s="450">
        <v>26</v>
      </c>
      <c r="B28" s="134">
        <v>46432</v>
      </c>
      <c r="C28" s="135">
        <f>SUM(D28:E28)</f>
        <v>113893</v>
      </c>
      <c r="D28" s="135">
        <v>55731</v>
      </c>
      <c r="E28" s="135">
        <v>58162</v>
      </c>
      <c r="F28" s="136">
        <f>ROUND(C28/B28,2)</f>
        <v>2.4500000000000002</v>
      </c>
      <c r="G28" s="814">
        <f>+C28-C27</f>
        <v>141</v>
      </c>
      <c r="H28" s="814"/>
      <c r="I28" s="807">
        <f>G28/C28</f>
        <v>1.2380040915596217E-3</v>
      </c>
      <c r="J28" s="808"/>
    </row>
    <row r="29" spans="1:15" ht="17.100000000000001" customHeight="1">
      <c r="A29" s="450">
        <v>27</v>
      </c>
      <c r="B29" s="134">
        <v>47055</v>
      </c>
      <c r="C29" s="135">
        <f>SUM(D29:E29)</f>
        <v>113974</v>
      </c>
      <c r="D29" s="135">
        <v>55635</v>
      </c>
      <c r="E29" s="135">
        <v>58339</v>
      </c>
      <c r="F29" s="136">
        <f>ROUND(C29/B29,2)</f>
        <v>2.42</v>
      </c>
      <c r="G29" s="814">
        <f>+C29-C28</f>
        <v>81</v>
      </c>
      <c r="H29" s="814"/>
      <c r="I29" s="807">
        <f>G29/C29</f>
        <v>7.1068840261814098E-4</v>
      </c>
      <c r="J29" s="808"/>
    </row>
    <row r="30" spans="1:15" ht="17.100000000000001" customHeight="1" thickBot="1">
      <c r="A30" s="710">
        <v>28</v>
      </c>
      <c r="B30" s="713">
        <v>47384</v>
      </c>
      <c r="C30" s="713">
        <f>SUM(D30:E30)</f>
        <v>113580</v>
      </c>
      <c r="D30" s="713">
        <v>55348</v>
      </c>
      <c r="E30" s="713">
        <v>58232</v>
      </c>
      <c r="F30" s="714">
        <f>ROUND(C30/B30,2)</f>
        <v>2.4</v>
      </c>
      <c r="G30" s="827">
        <f>+C30-C29</f>
        <v>-394</v>
      </c>
      <c r="H30" s="827"/>
      <c r="I30" s="816">
        <f>G30/C30</f>
        <v>-3.4689205846099667E-3</v>
      </c>
      <c r="J30" s="817"/>
    </row>
    <row r="31" spans="1:15" ht="17.100000000000001" customHeight="1">
      <c r="B31" s="140"/>
      <c r="C31" s="140"/>
      <c r="D31" s="140"/>
      <c r="E31" s="140"/>
      <c r="F31" s="140"/>
      <c r="G31" s="140"/>
      <c r="H31" s="140"/>
      <c r="I31" s="140"/>
      <c r="J31" s="397" t="s">
        <v>707</v>
      </c>
    </row>
    <row r="32" spans="1:15" ht="17.100000000000001" customHeight="1">
      <c r="A32" s="396" t="s">
        <v>27</v>
      </c>
      <c r="B32" s="140"/>
      <c r="C32" s="140"/>
      <c r="D32" s="140"/>
      <c r="E32" s="140"/>
      <c r="F32" s="140"/>
      <c r="G32" s="140"/>
      <c r="H32" s="140"/>
      <c r="I32" s="140"/>
      <c r="J32" s="140"/>
      <c r="K32" s="407">
        <f>+G29/C28</f>
        <v>7.1119383983212316E-4</v>
      </c>
    </row>
    <row r="33" spans="1:10" ht="15" customHeight="1" thickBot="1">
      <c r="A33" s="396" t="s">
        <v>439</v>
      </c>
      <c r="B33" s="140"/>
      <c r="C33" s="140"/>
      <c r="D33" s="140"/>
      <c r="E33" s="140"/>
      <c r="F33" s="140"/>
      <c r="G33" s="140"/>
      <c r="H33" s="140"/>
      <c r="I33" s="140"/>
      <c r="J33" s="397" t="s">
        <v>440</v>
      </c>
    </row>
    <row r="34" spans="1:10" ht="15" customHeight="1">
      <c r="A34" s="796" t="s">
        <v>441</v>
      </c>
      <c r="B34" s="819" t="s">
        <v>442</v>
      </c>
      <c r="C34" s="820"/>
      <c r="D34" s="821"/>
      <c r="E34" s="819" t="s">
        <v>443</v>
      </c>
      <c r="F34" s="820"/>
      <c r="G34" s="821"/>
      <c r="H34" s="819" t="s">
        <v>444</v>
      </c>
      <c r="I34" s="820"/>
      <c r="J34" s="822"/>
    </row>
    <row r="35" spans="1:10" ht="15" customHeight="1">
      <c r="A35" s="818"/>
      <c r="B35" s="823" t="s">
        <v>445</v>
      </c>
      <c r="C35" s="824"/>
      <c r="D35" s="825"/>
      <c r="E35" s="823" t="s">
        <v>446</v>
      </c>
      <c r="F35" s="824"/>
      <c r="G35" s="825"/>
      <c r="H35" s="823" t="s">
        <v>447</v>
      </c>
      <c r="I35" s="824"/>
      <c r="J35" s="826"/>
    </row>
    <row r="36" spans="1:10" ht="20.100000000000001" customHeight="1">
      <c r="A36" s="797"/>
      <c r="B36" s="400" t="s">
        <v>448</v>
      </c>
      <c r="C36" s="400" t="s">
        <v>449</v>
      </c>
      <c r="D36" s="400" t="s">
        <v>450</v>
      </c>
      <c r="E36" s="400" t="s">
        <v>448</v>
      </c>
      <c r="F36" s="400" t="s">
        <v>449</v>
      </c>
      <c r="G36" s="550" t="s">
        <v>450</v>
      </c>
      <c r="H36" s="550" t="s">
        <v>448</v>
      </c>
      <c r="I36" s="400" t="s">
        <v>449</v>
      </c>
      <c r="J36" s="408" t="s">
        <v>450</v>
      </c>
    </row>
    <row r="37" spans="1:10" ht="20.100000000000001" customHeight="1">
      <c r="A37" s="450" t="s">
        <v>633</v>
      </c>
      <c r="B37" s="137">
        <f t="shared" ref="B37:B44" si="7">SUM(C37:D37)</f>
        <v>21798</v>
      </c>
      <c r="C37" s="138">
        <v>11288</v>
      </c>
      <c r="D37" s="138">
        <v>10510</v>
      </c>
      <c r="E37" s="138">
        <f t="shared" ref="E37:E40" si="8">SUM(F37:G37)</f>
        <v>72960</v>
      </c>
      <c r="F37" s="138">
        <v>36113</v>
      </c>
      <c r="G37" s="594">
        <v>36847</v>
      </c>
      <c r="H37" s="138">
        <f t="shared" ref="H37:H44" si="9">SUM(I37:J37)</f>
        <v>13949</v>
      </c>
      <c r="I37" s="594">
        <v>6060</v>
      </c>
      <c r="J37" s="469">
        <v>7889</v>
      </c>
    </row>
    <row r="38" spans="1:10" ht="20.100000000000001" customHeight="1">
      <c r="A38" s="450">
        <v>20</v>
      </c>
      <c r="B38" s="137">
        <f t="shared" si="7"/>
        <v>21675</v>
      </c>
      <c r="C38" s="139">
        <v>11185</v>
      </c>
      <c r="D38" s="139">
        <v>10490</v>
      </c>
      <c r="E38" s="138">
        <f t="shared" si="8"/>
        <v>73165</v>
      </c>
      <c r="F38" s="139">
        <v>36164</v>
      </c>
      <c r="G38" s="139">
        <v>37001</v>
      </c>
      <c r="H38" s="575">
        <f t="shared" si="9"/>
        <v>14533</v>
      </c>
      <c r="I38" s="468">
        <v>6334</v>
      </c>
      <c r="J38" s="470">
        <v>8199</v>
      </c>
    </row>
    <row r="39" spans="1:10" ht="17.100000000000001" customHeight="1">
      <c r="A39" s="450">
        <v>21</v>
      </c>
      <c r="B39" s="390">
        <f t="shared" si="7"/>
        <v>21678</v>
      </c>
      <c r="C39" s="139">
        <v>11210</v>
      </c>
      <c r="D39" s="139">
        <v>10468</v>
      </c>
      <c r="E39" s="139">
        <f t="shared" si="8"/>
        <v>73440</v>
      </c>
      <c r="F39" s="139">
        <v>36275</v>
      </c>
      <c r="G39" s="139">
        <v>37165</v>
      </c>
      <c r="H39" s="139">
        <f t="shared" si="9"/>
        <v>15167</v>
      </c>
      <c r="I39" s="468">
        <v>6626</v>
      </c>
      <c r="J39" s="470">
        <v>8541</v>
      </c>
    </row>
    <row r="40" spans="1:10" s="403" customFormat="1" ht="17.100000000000001" customHeight="1">
      <c r="A40" s="450">
        <v>22</v>
      </c>
      <c r="B40" s="390">
        <f t="shared" si="7"/>
        <v>21673</v>
      </c>
      <c r="C40" s="139">
        <v>11221</v>
      </c>
      <c r="D40" s="139">
        <v>10452</v>
      </c>
      <c r="E40" s="139">
        <f t="shared" si="8"/>
        <v>73695</v>
      </c>
      <c r="F40" s="139">
        <v>36401</v>
      </c>
      <c r="G40" s="139">
        <v>37294</v>
      </c>
      <c r="H40" s="138">
        <f t="shared" si="9"/>
        <v>15526</v>
      </c>
      <c r="I40" s="468">
        <v>6784</v>
      </c>
      <c r="J40" s="470">
        <v>8742</v>
      </c>
    </row>
    <row r="41" spans="1:10" ht="17.100000000000001" customHeight="1">
      <c r="A41" s="450">
        <v>23</v>
      </c>
      <c r="B41" s="139">
        <f t="shared" si="7"/>
        <v>21601</v>
      </c>
      <c r="C41" s="139">
        <v>11119</v>
      </c>
      <c r="D41" s="139">
        <v>10482</v>
      </c>
      <c r="E41" s="139">
        <f t="shared" ref="E41:E46" si="10">SUM(F41:G41)</f>
        <v>74384</v>
      </c>
      <c r="F41" s="139">
        <v>36650</v>
      </c>
      <c r="G41" s="139">
        <v>37734</v>
      </c>
      <c r="H41" s="138">
        <f t="shared" si="9"/>
        <v>15478</v>
      </c>
      <c r="I41" s="468">
        <v>6755</v>
      </c>
      <c r="J41" s="470">
        <v>8723</v>
      </c>
    </row>
    <row r="42" spans="1:10" ht="17.100000000000001" customHeight="1">
      <c r="A42" s="450">
        <v>24</v>
      </c>
      <c r="B42" s="139">
        <f>SUM(C42:D42)</f>
        <v>21691</v>
      </c>
      <c r="C42" s="139">
        <v>11139</v>
      </c>
      <c r="D42" s="139">
        <v>10552</v>
      </c>
      <c r="E42" s="139">
        <f t="shared" si="10"/>
        <v>74876</v>
      </c>
      <c r="F42" s="139">
        <v>36934</v>
      </c>
      <c r="G42" s="139">
        <v>37942</v>
      </c>
      <c r="H42" s="138">
        <f t="shared" si="9"/>
        <v>15846</v>
      </c>
      <c r="I42" s="468">
        <v>6897</v>
      </c>
      <c r="J42" s="470">
        <v>8949</v>
      </c>
    </row>
    <row r="43" spans="1:10" s="403" customFormat="1" ht="17.100000000000001" customHeight="1">
      <c r="A43" s="450">
        <v>25</v>
      </c>
      <c r="B43" s="390">
        <f>SUM(C43:D43)</f>
        <v>21652</v>
      </c>
      <c r="C43" s="139">
        <v>11106</v>
      </c>
      <c r="D43" s="139">
        <v>10546</v>
      </c>
      <c r="E43" s="139">
        <f t="shared" si="10"/>
        <v>75290</v>
      </c>
      <c r="F43" s="139">
        <v>37184</v>
      </c>
      <c r="G43" s="139">
        <v>38106</v>
      </c>
      <c r="H43" s="138">
        <f t="shared" si="9"/>
        <v>16810</v>
      </c>
      <c r="I43" s="468">
        <v>7417</v>
      </c>
      <c r="J43" s="470">
        <v>9393</v>
      </c>
    </row>
    <row r="44" spans="1:10" s="403" customFormat="1" ht="17.100000000000001" customHeight="1">
      <c r="A44" s="450">
        <v>26</v>
      </c>
      <c r="B44" s="139">
        <f t="shared" si="7"/>
        <v>21487</v>
      </c>
      <c r="C44" s="139">
        <v>10989</v>
      </c>
      <c r="D44" s="139">
        <v>10498</v>
      </c>
      <c r="E44" s="139">
        <f t="shared" si="10"/>
        <v>74740</v>
      </c>
      <c r="F44" s="139">
        <v>36953</v>
      </c>
      <c r="G44" s="139">
        <v>37787</v>
      </c>
      <c r="H44" s="138">
        <f t="shared" si="9"/>
        <v>17666</v>
      </c>
      <c r="I44" s="468">
        <v>7789</v>
      </c>
      <c r="J44" s="470">
        <v>9877</v>
      </c>
    </row>
    <row r="45" spans="1:10" ht="17.100000000000001" customHeight="1">
      <c r="A45" s="450">
        <v>27</v>
      </c>
      <c r="B45" s="390">
        <f>SUM(C45:D45)</f>
        <v>21244</v>
      </c>
      <c r="C45" s="139">
        <v>10846</v>
      </c>
      <c r="D45" s="139">
        <v>10398</v>
      </c>
      <c r="E45" s="139">
        <f t="shared" si="10"/>
        <v>74167</v>
      </c>
      <c r="F45" s="139">
        <v>36590</v>
      </c>
      <c r="G45" s="139">
        <v>37577</v>
      </c>
      <c r="H45" s="138">
        <f>SUM(I45:J45)</f>
        <v>18563</v>
      </c>
      <c r="I45" s="468">
        <v>8199</v>
      </c>
      <c r="J45" s="711">
        <v>10364</v>
      </c>
    </row>
    <row r="46" spans="1:10" ht="17.100000000000001" customHeight="1" thickBot="1">
      <c r="A46" s="710">
        <v>28</v>
      </c>
      <c r="B46" s="715">
        <f>SUM(C46:D46)</f>
        <v>20914</v>
      </c>
      <c r="C46" s="715">
        <v>10667</v>
      </c>
      <c r="D46" s="715">
        <v>10247</v>
      </c>
      <c r="E46" s="715">
        <f t="shared" si="10"/>
        <v>73128</v>
      </c>
      <c r="F46" s="715">
        <v>36040</v>
      </c>
      <c r="G46" s="715">
        <v>37088</v>
      </c>
      <c r="H46" s="716">
        <f>SUM(I46:J46)</f>
        <v>19538</v>
      </c>
      <c r="I46" s="717">
        <v>8641</v>
      </c>
      <c r="J46" s="718">
        <v>10897</v>
      </c>
    </row>
    <row r="47" spans="1:10" ht="17.100000000000001" customHeight="1">
      <c r="A47" s="409"/>
      <c r="B47" s="140"/>
      <c r="C47" s="140"/>
      <c r="D47" s="140"/>
      <c r="E47" s="140"/>
      <c r="F47" s="140"/>
      <c r="G47" s="140"/>
      <c r="H47" s="140"/>
      <c r="I47" s="140"/>
      <c r="J47" s="397" t="s">
        <v>707</v>
      </c>
    </row>
    <row r="50" ht="15" customHeight="1"/>
  </sheetData>
  <sheetProtection selectLockedCells="1" selectUnlockedCells="1"/>
  <mergeCells count="61">
    <mergeCell ref="G25:H25"/>
    <mergeCell ref="I25:J25"/>
    <mergeCell ref="G24:H24"/>
    <mergeCell ref="G21:H21"/>
    <mergeCell ref="G22:H22"/>
    <mergeCell ref="G30:H30"/>
    <mergeCell ref="I30:J30"/>
    <mergeCell ref="G29:H29"/>
    <mergeCell ref="I29:J29"/>
    <mergeCell ref="G28:H28"/>
    <mergeCell ref="I28:J28"/>
    <mergeCell ref="A34:A36"/>
    <mergeCell ref="B34:D34"/>
    <mergeCell ref="E34:G34"/>
    <mergeCell ref="H34:J34"/>
    <mergeCell ref="B35:D35"/>
    <mergeCell ref="E35:G35"/>
    <mergeCell ref="H35:J35"/>
    <mergeCell ref="G14:H14"/>
    <mergeCell ref="G10:H10"/>
    <mergeCell ref="I10:J10"/>
    <mergeCell ref="I27:J27"/>
    <mergeCell ref="G27:H27"/>
    <mergeCell ref="I14:J14"/>
    <mergeCell ref="I22:J22"/>
    <mergeCell ref="G23:H23"/>
    <mergeCell ref="I24:J24"/>
    <mergeCell ref="G26:H26"/>
    <mergeCell ref="I21:J21"/>
    <mergeCell ref="I26:J26"/>
    <mergeCell ref="I23:J23"/>
    <mergeCell ref="I19:J19"/>
    <mergeCell ref="G15:H15"/>
    <mergeCell ref="I15:J15"/>
    <mergeCell ref="G8:H8"/>
    <mergeCell ref="I8:J8"/>
    <mergeCell ref="A19:A20"/>
    <mergeCell ref="B19:B20"/>
    <mergeCell ref="C19:E19"/>
    <mergeCell ref="G19:H19"/>
    <mergeCell ref="G20:H20"/>
    <mergeCell ref="G13:H13"/>
    <mergeCell ref="G11:H11"/>
    <mergeCell ref="G12:H12"/>
    <mergeCell ref="G9:H9"/>
    <mergeCell ref="I9:J9"/>
    <mergeCell ref="I20:J20"/>
    <mergeCell ref="I12:J12"/>
    <mergeCell ref="I11:J11"/>
    <mergeCell ref="I13:J13"/>
    <mergeCell ref="G7:H7"/>
    <mergeCell ref="I7:J7"/>
    <mergeCell ref="I4:J4"/>
    <mergeCell ref="G5:H5"/>
    <mergeCell ref="I5:J5"/>
    <mergeCell ref="A4:A5"/>
    <mergeCell ref="B4:B5"/>
    <mergeCell ref="C4:E4"/>
    <mergeCell ref="G4:H4"/>
    <mergeCell ref="I6:J6"/>
    <mergeCell ref="G6:H6"/>
  </mergeCells>
  <phoneticPr fontId="19"/>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ignoredErrors>
    <ignoredError sqref="B43"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536"/>
  <sheetViews>
    <sheetView view="pageBreakPreview" topLeftCell="A5" zoomScaleNormal="120" zoomScaleSheetLayoutView="100" workbookViewId="0">
      <selection activeCell="K15" sqref="K15"/>
    </sheetView>
  </sheetViews>
  <sheetFormatPr defaultRowHeight="15" customHeight="1"/>
  <cols>
    <col min="1" max="1" width="12.25" style="5" customWidth="1"/>
    <col min="2" max="7" width="13.25" style="5" customWidth="1"/>
    <col min="8" max="8" width="11.125" style="5" bestFit="1" customWidth="1"/>
    <col min="9" max="16384" width="9" style="5"/>
  </cols>
  <sheetData>
    <row r="1" spans="1:8" ht="5.0999999999999996" customHeight="1">
      <c r="A1" s="68"/>
      <c r="B1" s="956"/>
      <c r="C1" s="956"/>
      <c r="D1" s="956"/>
      <c r="E1" s="956"/>
      <c r="F1" s="956"/>
      <c r="G1" s="956"/>
    </row>
    <row r="2" spans="1:8" ht="15" customHeight="1">
      <c r="A2" s="68" t="s">
        <v>282</v>
      </c>
      <c r="B2" s="52"/>
      <c r="C2" s="52"/>
      <c r="D2" s="52"/>
      <c r="E2" s="52"/>
      <c r="F2" s="52"/>
      <c r="G2" s="52"/>
    </row>
    <row r="3" spans="1:8" ht="5.0999999999999996" customHeight="1">
      <c r="A3" s="68"/>
      <c r="B3" s="52"/>
      <c r="C3" s="52"/>
      <c r="D3" s="52"/>
      <c r="E3" s="52"/>
      <c r="F3" s="52"/>
      <c r="G3" s="52"/>
    </row>
    <row r="4" spans="1:8" s="69" customFormat="1" ht="129.94999999999999" customHeight="1">
      <c r="A4" s="955" t="s">
        <v>715</v>
      </c>
      <c r="B4" s="955"/>
      <c r="C4" s="955"/>
      <c r="D4" s="955"/>
      <c r="E4" s="955"/>
      <c r="F4" s="955"/>
      <c r="G4" s="955"/>
    </row>
    <row r="6" spans="1:8" ht="15" customHeight="1" thickBot="1">
      <c r="A6" s="14" t="s">
        <v>283</v>
      </c>
      <c r="G6" s="7" t="s">
        <v>16</v>
      </c>
    </row>
    <row r="7" spans="1:8" ht="20.100000000000001" customHeight="1">
      <c r="A7" s="932" t="s">
        <v>17</v>
      </c>
      <c r="B7" s="933" t="s">
        <v>252</v>
      </c>
      <c r="C7" s="949" t="s">
        <v>284</v>
      </c>
      <c r="D7" s="949"/>
      <c r="E7" s="949"/>
      <c r="F7" s="967" t="s">
        <v>285</v>
      </c>
      <c r="G7" s="150" t="s">
        <v>286</v>
      </c>
    </row>
    <row r="8" spans="1:8" ht="20.100000000000001" customHeight="1">
      <c r="A8" s="934"/>
      <c r="B8" s="935"/>
      <c r="C8" s="912"/>
      <c r="D8" s="912"/>
      <c r="E8" s="912"/>
      <c r="F8" s="968"/>
      <c r="G8" s="181" t="s">
        <v>287</v>
      </c>
    </row>
    <row r="9" spans="1:8" ht="20.100000000000001" customHeight="1">
      <c r="A9" s="934"/>
      <c r="B9" s="935"/>
      <c r="C9" s="9" t="s">
        <v>88</v>
      </c>
      <c r="D9" s="9" t="s">
        <v>21</v>
      </c>
      <c r="E9" s="9" t="s">
        <v>22</v>
      </c>
      <c r="F9" s="968"/>
      <c r="G9" s="141" t="s">
        <v>288</v>
      </c>
    </row>
    <row r="10" spans="1:8" ht="15" customHeight="1">
      <c r="A10" s="636"/>
      <c r="B10" s="635"/>
      <c r="C10" s="73"/>
      <c r="D10" s="73"/>
      <c r="E10" s="74"/>
      <c r="F10" s="56"/>
      <c r="G10" s="183"/>
    </row>
    <row r="11" spans="1:8" ht="18" customHeight="1">
      <c r="A11" s="184" t="s">
        <v>672</v>
      </c>
      <c r="B11" s="635">
        <v>2402</v>
      </c>
      <c r="C11" s="73">
        <f>D11+E11</f>
        <v>11369</v>
      </c>
      <c r="D11" s="73">
        <v>5480</v>
      </c>
      <c r="E11" s="74">
        <v>5889</v>
      </c>
      <c r="F11" s="56">
        <f>C11/B11</f>
        <v>4.7331390507910074</v>
      </c>
      <c r="G11" s="183">
        <v>0.93</v>
      </c>
      <c r="H11" s="1103"/>
    </row>
    <row r="12" spans="1:8" ht="15" customHeight="1">
      <c r="A12" s="184"/>
      <c r="B12" s="635"/>
      <c r="C12" s="73"/>
      <c r="D12" s="73"/>
      <c r="E12" s="74"/>
      <c r="F12" s="56"/>
      <c r="G12" s="183"/>
      <c r="H12" s="1104"/>
    </row>
    <row r="13" spans="1:8" ht="18" customHeight="1">
      <c r="A13" s="184">
        <v>15</v>
      </c>
      <c r="B13" s="635">
        <v>2323</v>
      </c>
      <c r="C13" s="73">
        <f>D13+E13</f>
        <v>11084</v>
      </c>
      <c r="D13" s="73">
        <v>5315</v>
      </c>
      <c r="E13" s="74">
        <v>5769</v>
      </c>
      <c r="F13" s="56">
        <f>C13/B13</f>
        <v>4.7714162720619884</v>
      </c>
      <c r="G13" s="183">
        <v>-2.5099999999999998</v>
      </c>
      <c r="H13" s="1103">
        <f>(C13/C11)-1</f>
        <v>-2.5068167824786713E-2</v>
      </c>
    </row>
    <row r="14" spans="1:8" ht="15" customHeight="1">
      <c r="A14" s="184"/>
      <c r="B14" s="635"/>
      <c r="C14" s="73"/>
      <c r="D14" s="73"/>
      <c r="E14" s="74"/>
      <c r="F14" s="56"/>
      <c r="G14" s="183"/>
      <c r="H14" s="1104"/>
    </row>
    <row r="15" spans="1:8" ht="18" customHeight="1">
      <c r="A15" s="184">
        <v>20</v>
      </c>
      <c r="B15" s="75" t="s">
        <v>289</v>
      </c>
      <c r="C15" s="74" t="s">
        <v>289</v>
      </c>
      <c r="D15" s="74" t="s">
        <v>289</v>
      </c>
      <c r="E15" s="74" t="s">
        <v>289</v>
      </c>
      <c r="F15" s="56" t="s">
        <v>289</v>
      </c>
      <c r="G15" s="183" t="s">
        <v>289</v>
      </c>
      <c r="H15" s="1103" t="e">
        <f>(C15/C13)-1</f>
        <v>#VALUE!</v>
      </c>
    </row>
    <row r="16" spans="1:8" ht="15" customHeight="1">
      <c r="A16" s="184"/>
      <c r="B16" s="635"/>
      <c r="C16" s="73"/>
      <c r="D16" s="73"/>
      <c r="E16" s="74"/>
      <c r="F16" s="56"/>
      <c r="G16" s="183"/>
      <c r="H16" s="1104"/>
    </row>
    <row r="17" spans="1:8" ht="18" customHeight="1">
      <c r="A17" s="184">
        <v>25</v>
      </c>
      <c r="B17" s="75" t="s">
        <v>289</v>
      </c>
      <c r="C17" s="73">
        <f>D17+E17</f>
        <v>11910</v>
      </c>
      <c r="D17" s="73">
        <v>5862</v>
      </c>
      <c r="E17" s="74">
        <v>6048</v>
      </c>
      <c r="F17" s="56" t="s">
        <v>289</v>
      </c>
      <c r="G17" s="183">
        <v>7.45</v>
      </c>
      <c r="H17" s="1104"/>
    </row>
    <row r="18" spans="1:8" ht="15" customHeight="1">
      <c r="A18" s="184"/>
      <c r="B18" s="637"/>
      <c r="C18" s="73"/>
      <c r="D18" s="73"/>
      <c r="E18" s="74"/>
      <c r="F18" s="76"/>
      <c r="G18" s="183"/>
      <c r="H18" s="1104"/>
    </row>
    <row r="19" spans="1:8" ht="18" customHeight="1">
      <c r="A19" s="184">
        <v>30</v>
      </c>
      <c r="B19" s="637">
        <v>4329</v>
      </c>
      <c r="C19" s="73">
        <f>D19+E19</f>
        <v>18832</v>
      </c>
      <c r="D19" s="73">
        <v>9146</v>
      </c>
      <c r="E19" s="74">
        <v>9686</v>
      </c>
      <c r="F19" s="56">
        <f>C19/B19</f>
        <v>4.3501963501963505</v>
      </c>
      <c r="G19" s="183">
        <v>58.12</v>
      </c>
      <c r="H19" s="1105"/>
    </row>
    <row r="20" spans="1:8" ht="15" customHeight="1">
      <c r="A20" s="184"/>
      <c r="B20" s="635"/>
      <c r="C20" s="73"/>
      <c r="D20" s="73"/>
      <c r="E20" s="74"/>
      <c r="F20" s="56"/>
      <c r="G20" s="183"/>
      <c r="H20" s="1105"/>
    </row>
    <row r="21" spans="1:8" ht="18" customHeight="1">
      <c r="A21" s="184">
        <v>35</v>
      </c>
      <c r="B21" s="635">
        <v>6134</v>
      </c>
      <c r="C21" s="73">
        <f>D21+E21</f>
        <v>24512</v>
      </c>
      <c r="D21" s="73">
        <v>11789</v>
      </c>
      <c r="E21" s="74">
        <v>12723</v>
      </c>
      <c r="F21" s="56">
        <f>C21/B21</f>
        <v>3.9960873818063254</v>
      </c>
      <c r="G21" s="183">
        <v>30.16</v>
      </c>
      <c r="H21" s="1103">
        <f>(C21/C19)-1</f>
        <v>0.3016142735768903</v>
      </c>
    </row>
    <row r="22" spans="1:8" ht="15" customHeight="1">
      <c r="A22" s="184"/>
      <c r="B22" s="635"/>
      <c r="C22" s="73"/>
      <c r="D22" s="73"/>
      <c r="E22" s="74"/>
      <c r="F22" s="56"/>
      <c r="G22" s="183"/>
      <c r="H22" s="1105"/>
    </row>
    <row r="23" spans="1:8" ht="18" customHeight="1">
      <c r="A23" s="184">
        <v>40</v>
      </c>
      <c r="B23" s="635">
        <v>7266</v>
      </c>
      <c r="C23" s="73">
        <f>D23+E23</f>
        <v>30821</v>
      </c>
      <c r="D23" s="73">
        <v>14891</v>
      </c>
      <c r="E23" s="74">
        <v>15930</v>
      </c>
      <c r="F23" s="56">
        <f>C23/B23</f>
        <v>4.2418111753371868</v>
      </c>
      <c r="G23" s="183">
        <v>25.74</v>
      </c>
      <c r="H23" s="1103">
        <f>(C23/C21)-1</f>
        <v>0.257384138381201</v>
      </c>
    </row>
    <row r="24" spans="1:8" ht="15" customHeight="1">
      <c r="A24" s="184"/>
      <c r="B24" s="635"/>
      <c r="C24" s="73"/>
      <c r="D24" s="73"/>
      <c r="E24" s="74"/>
      <c r="F24" s="56"/>
      <c r="G24" s="183"/>
      <c r="H24" s="1105"/>
    </row>
    <row r="25" spans="1:8" ht="18" customHeight="1">
      <c r="A25" s="184">
        <v>45</v>
      </c>
      <c r="B25" s="635">
        <v>10085</v>
      </c>
      <c r="C25" s="73">
        <f>D25+E25</f>
        <v>41768</v>
      </c>
      <c r="D25" s="73">
        <v>20362</v>
      </c>
      <c r="E25" s="74">
        <v>21406</v>
      </c>
      <c r="F25" s="56">
        <f>C25/B25</f>
        <v>4.1415964303420925</v>
      </c>
      <c r="G25" s="183">
        <v>35.520000000000003</v>
      </c>
      <c r="H25" s="1103">
        <f>(C25/C23)-1</f>
        <v>0.35517990980175851</v>
      </c>
    </row>
    <row r="26" spans="1:8" ht="15" customHeight="1">
      <c r="A26" s="184"/>
      <c r="B26" s="635"/>
      <c r="C26" s="73"/>
      <c r="D26" s="73"/>
      <c r="E26" s="74"/>
      <c r="F26" s="56"/>
      <c r="G26" s="183"/>
      <c r="H26" s="1105"/>
    </row>
    <row r="27" spans="1:8" ht="18" customHeight="1">
      <c r="A27" s="184">
        <v>50</v>
      </c>
      <c r="B27" s="635">
        <v>15063</v>
      </c>
      <c r="C27" s="73">
        <f>D27+E27</f>
        <v>59289</v>
      </c>
      <c r="D27" s="73">
        <v>29382</v>
      </c>
      <c r="E27" s="74">
        <v>29907</v>
      </c>
      <c r="F27" s="56">
        <f>C27/B27</f>
        <v>3.9360685122485561</v>
      </c>
      <c r="G27" s="183">
        <v>41.95</v>
      </c>
      <c r="H27" s="1103">
        <f>(C27/C25)-1</f>
        <v>0.41948381536104185</v>
      </c>
    </row>
    <row r="28" spans="1:8" ht="15" customHeight="1">
      <c r="A28" s="184"/>
      <c r="B28" s="635"/>
      <c r="C28" s="73"/>
      <c r="D28" s="73"/>
      <c r="E28" s="74"/>
      <c r="F28" s="56"/>
      <c r="G28" s="183"/>
      <c r="H28" s="1105"/>
    </row>
    <row r="29" spans="1:8" ht="18" customHeight="1">
      <c r="A29" s="184">
        <v>55</v>
      </c>
      <c r="B29" s="635">
        <v>19112</v>
      </c>
      <c r="C29" s="73">
        <f>D29+E29</f>
        <v>70282</v>
      </c>
      <c r="D29" s="73">
        <v>34773</v>
      </c>
      <c r="E29" s="74">
        <v>35509</v>
      </c>
      <c r="F29" s="56">
        <f>C29/B29</f>
        <v>3.6773754709083297</v>
      </c>
      <c r="G29" s="183">
        <v>18.54</v>
      </c>
      <c r="H29" s="1103">
        <f>(C29/C27)-1</f>
        <v>0.18541382043886734</v>
      </c>
    </row>
    <row r="30" spans="1:8" ht="15" customHeight="1">
      <c r="A30" s="184"/>
      <c r="B30" s="635"/>
      <c r="C30" s="73"/>
      <c r="D30" s="73"/>
      <c r="E30" s="74"/>
      <c r="F30" s="56"/>
      <c r="G30" s="183"/>
      <c r="H30" s="1105"/>
    </row>
    <row r="31" spans="1:8" ht="18" customHeight="1">
      <c r="A31" s="184">
        <v>60</v>
      </c>
      <c r="B31" s="635">
        <v>23579</v>
      </c>
      <c r="C31" s="73">
        <f>D31+E31</f>
        <v>81611</v>
      </c>
      <c r="D31" s="73">
        <v>40547</v>
      </c>
      <c r="E31" s="74">
        <v>41064</v>
      </c>
      <c r="F31" s="56">
        <f>C31/B31</f>
        <v>3.4611730777386658</v>
      </c>
      <c r="G31" s="183">
        <v>16.12</v>
      </c>
      <c r="H31" s="1103">
        <f>(C31/C29)-1</f>
        <v>0.16119347770410641</v>
      </c>
    </row>
    <row r="32" spans="1:8" ht="15" customHeight="1">
      <c r="A32" s="185"/>
      <c r="B32" s="635"/>
      <c r="C32" s="73"/>
      <c r="D32" s="73"/>
      <c r="E32" s="74"/>
      <c r="F32" s="56"/>
      <c r="G32" s="183"/>
      <c r="H32" s="1105"/>
    </row>
    <row r="33" spans="1:8" ht="18" customHeight="1">
      <c r="A33" s="185" t="s">
        <v>290</v>
      </c>
      <c r="B33" s="635">
        <v>27749</v>
      </c>
      <c r="C33" s="73">
        <f>D33+E33</f>
        <v>89994</v>
      </c>
      <c r="D33" s="73">
        <v>44316</v>
      </c>
      <c r="E33" s="74">
        <v>45678</v>
      </c>
      <c r="F33" s="56">
        <f>C33/B33</f>
        <v>3.2431438970773723</v>
      </c>
      <c r="G33" s="183">
        <v>10.27</v>
      </c>
      <c r="H33" s="1103">
        <f>(C33/C31)-1</f>
        <v>0.10271899621374581</v>
      </c>
    </row>
    <row r="34" spans="1:8" ht="15" customHeight="1">
      <c r="A34" s="185"/>
      <c r="B34" s="635"/>
      <c r="C34" s="73"/>
      <c r="D34" s="73"/>
      <c r="E34" s="74"/>
      <c r="F34" s="56"/>
      <c r="G34" s="183"/>
      <c r="H34" s="1105"/>
    </row>
    <row r="35" spans="1:8" ht="18" customHeight="1">
      <c r="A35" s="185" t="s">
        <v>46</v>
      </c>
      <c r="B35" s="635">
        <v>31445</v>
      </c>
      <c r="C35" s="73">
        <f>D35+E35</f>
        <v>96002</v>
      </c>
      <c r="D35" s="73">
        <v>47360</v>
      </c>
      <c r="E35" s="74">
        <v>48642</v>
      </c>
      <c r="F35" s="56">
        <f>C35/B35</f>
        <v>3.0530131976466848</v>
      </c>
      <c r="G35" s="183">
        <v>6.68</v>
      </c>
      <c r="H35" s="1103">
        <f>(C35/C33)-1</f>
        <v>6.6760006222637003E-2</v>
      </c>
    </row>
    <row r="36" spans="1:8" ht="15" customHeight="1">
      <c r="A36" s="636"/>
      <c r="B36" s="635"/>
      <c r="C36" s="73"/>
      <c r="D36" s="73"/>
      <c r="E36" s="74"/>
      <c r="F36" s="56"/>
      <c r="G36" s="183"/>
      <c r="H36" s="1105"/>
    </row>
    <row r="37" spans="1:8" ht="18" customHeight="1">
      <c r="A37" s="185" t="s">
        <v>291</v>
      </c>
      <c r="B37" s="635">
        <v>35884</v>
      </c>
      <c r="C37" s="73">
        <f>D37+E37</f>
        <v>102734</v>
      </c>
      <c r="D37" s="73">
        <v>50440</v>
      </c>
      <c r="E37" s="74">
        <v>52294</v>
      </c>
      <c r="F37" s="56">
        <f>C37/B37</f>
        <v>2.862947274551332</v>
      </c>
      <c r="G37" s="183">
        <v>7.01</v>
      </c>
      <c r="H37" s="1103">
        <f>(C37/C35)-1</f>
        <v>7.0123539092935561E-2</v>
      </c>
    </row>
    <row r="38" spans="1:8" ht="15" customHeight="1">
      <c r="A38" s="185"/>
      <c r="B38" s="635"/>
      <c r="C38" s="73"/>
      <c r="D38" s="73"/>
      <c r="E38" s="74"/>
      <c r="F38" s="56"/>
      <c r="G38" s="183"/>
      <c r="H38" s="1105"/>
    </row>
    <row r="39" spans="1:8" ht="18" customHeight="1">
      <c r="A39" s="185" t="s">
        <v>292</v>
      </c>
      <c r="B39" s="635">
        <v>38314</v>
      </c>
      <c r="C39" s="73">
        <f>D39+E39</f>
        <v>106049</v>
      </c>
      <c r="D39" s="73">
        <v>52128</v>
      </c>
      <c r="E39" s="74">
        <v>53921</v>
      </c>
      <c r="F39" s="56">
        <f>C39/B39</f>
        <v>2.7678916323015086</v>
      </c>
      <c r="G39" s="183">
        <v>3.23</v>
      </c>
      <c r="H39" s="1103">
        <f>(C39/C37)-1</f>
        <v>3.2267798391963698E-2</v>
      </c>
    </row>
    <row r="40" spans="1:8" ht="15" customHeight="1">
      <c r="A40" s="636"/>
      <c r="B40" s="635"/>
      <c r="C40" s="73"/>
      <c r="D40" s="73"/>
      <c r="E40" s="74"/>
      <c r="F40" s="56"/>
      <c r="G40" s="183"/>
      <c r="H40" s="1105"/>
    </row>
    <row r="41" spans="1:8" ht="18" customHeight="1">
      <c r="A41" s="185" t="s">
        <v>293</v>
      </c>
      <c r="B41" s="635">
        <v>40927</v>
      </c>
      <c r="C41" s="634">
        <f>D41+E41</f>
        <v>110351</v>
      </c>
      <c r="D41" s="634">
        <v>53948</v>
      </c>
      <c r="E41" s="74">
        <v>56403</v>
      </c>
      <c r="F41" s="56">
        <f>C41/B41</f>
        <v>2.6962885136951158</v>
      </c>
      <c r="G41" s="643">
        <v>4.0599999999999996</v>
      </c>
      <c r="H41" s="1103">
        <f>(C41/C39)-1</f>
        <v>4.0566153381927261E-2</v>
      </c>
    </row>
    <row r="42" spans="1:8" ht="15" customHeight="1">
      <c r="A42" s="143"/>
      <c r="B42" s="72"/>
      <c r="C42" s="73"/>
      <c r="D42" s="73"/>
      <c r="E42" s="74"/>
      <c r="F42" s="56"/>
      <c r="G42" s="183"/>
      <c r="H42" s="1104"/>
    </row>
    <row r="43" spans="1:8" ht="18" customHeight="1" thickBot="1">
      <c r="A43" s="475" t="s">
        <v>673</v>
      </c>
      <c r="B43" s="476">
        <v>44041</v>
      </c>
      <c r="C43" s="477">
        <v>114232</v>
      </c>
      <c r="D43" s="477">
        <v>55471</v>
      </c>
      <c r="E43" s="478">
        <v>58761</v>
      </c>
      <c r="F43" s="479">
        <f>C43/B43</f>
        <v>2.593764900887809</v>
      </c>
      <c r="G43" s="480">
        <v>3.52</v>
      </c>
      <c r="H43" s="1103">
        <f>(C43/C41)-1</f>
        <v>3.5169595200768455E-2</v>
      </c>
    </row>
    <row r="44" spans="1:8" ht="15" customHeight="1">
      <c r="A44" s="5" t="s">
        <v>294</v>
      </c>
      <c r="G44" s="7" t="s">
        <v>674</v>
      </c>
      <c r="H44" s="1104"/>
    </row>
    <row r="65536" ht="16.5" customHeight="1"/>
  </sheetData>
  <sheetProtection selectLockedCells="1" selectUnlockedCells="1"/>
  <mergeCells count="6">
    <mergeCell ref="B1:G1"/>
    <mergeCell ref="A4:G4"/>
    <mergeCell ref="A7:A9"/>
    <mergeCell ref="B7:B9"/>
    <mergeCell ref="C7:E8"/>
    <mergeCell ref="F7:F9"/>
  </mergeCells>
  <phoneticPr fontId="19"/>
  <printOptions horizontalCentered="1"/>
  <pageMargins left="0.59055118110236227" right="0.59055118110236227" top="0.59055118110236227" bottom="0.59055118110236227" header="0.39370078740157483" footer="0.39370078740157483"/>
  <pageSetup paperSize="9" firstPageNumber="0" orientation="portrait" r:id="rId1"/>
  <headerFooter scaleWithDoc="0" alignWithMargins="0">
    <oddHeader>&amp;L&amp;"ＭＳ 明朝,標準"&amp;10人　口</oddHeader>
    <oddFooter>&amp;C&amp;"ＭＳ 明朝,標準"&amp;12&amp;A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view="pageBreakPreview" zoomScaleNormal="120" zoomScaleSheetLayoutView="100" workbookViewId="0">
      <pane ySplit="4" topLeftCell="A14" activePane="bottomLeft" state="frozen"/>
      <selection activeCell="I243" sqref="I243"/>
      <selection pane="bottomLeft" activeCell="I243" sqref="I243"/>
    </sheetView>
  </sheetViews>
  <sheetFormatPr defaultRowHeight="17.100000000000001" customHeight="1"/>
  <cols>
    <col min="1" max="1" width="8.625" style="1" customWidth="1"/>
    <col min="2" max="2" width="8.125" style="1" customWidth="1"/>
    <col min="3" max="6" width="8" style="1" customWidth="1"/>
    <col min="7" max="8" width="6.875" style="1" customWidth="1"/>
    <col min="9" max="10" width="8" style="1" customWidth="1"/>
    <col min="11" max="12" width="6.875" style="1" customWidth="1"/>
  </cols>
  <sheetData>
    <row r="1" spans="1:13" ht="5.0999999999999996" customHeight="1">
      <c r="A1" s="5"/>
      <c r="B1" s="6"/>
      <c r="C1" s="6"/>
      <c r="D1" s="6"/>
      <c r="E1" s="6"/>
      <c r="F1" s="6"/>
      <c r="G1" s="6"/>
      <c r="H1" s="6"/>
      <c r="I1" s="6"/>
      <c r="J1" s="6"/>
      <c r="K1" s="6"/>
      <c r="L1" s="7"/>
      <c r="M1" s="6"/>
    </row>
    <row r="2" spans="1:13" ht="15" customHeight="1" thickBot="1">
      <c r="A2" s="5" t="s">
        <v>295</v>
      </c>
      <c r="B2" s="6"/>
      <c r="C2" s="6"/>
      <c r="D2" s="6"/>
      <c r="E2" s="6"/>
      <c r="F2" s="6"/>
      <c r="G2" s="6"/>
      <c r="H2" s="6"/>
      <c r="I2" s="6"/>
      <c r="J2" s="6"/>
      <c r="K2" s="6"/>
      <c r="L2" s="7" t="s">
        <v>296</v>
      </c>
      <c r="M2" s="6"/>
    </row>
    <row r="3" spans="1:13" ht="21" customHeight="1">
      <c r="A3" s="932" t="s">
        <v>465</v>
      </c>
      <c r="B3" s="933" t="s">
        <v>466</v>
      </c>
      <c r="C3" s="933"/>
      <c r="D3" s="933"/>
      <c r="E3" s="933" t="s">
        <v>21</v>
      </c>
      <c r="F3" s="933"/>
      <c r="G3" s="933"/>
      <c r="H3" s="933"/>
      <c r="I3" s="933" t="s">
        <v>22</v>
      </c>
      <c r="J3" s="933"/>
      <c r="K3" s="933"/>
      <c r="L3" s="980"/>
      <c r="M3" s="29"/>
    </row>
    <row r="4" spans="1:13" ht="21" customHeight="1">
      <c r="A4" s="934"/>
      <c r="B4" s="9" t="s">
        <v>458</v>
      </c>
      <c r="C4" s="9" t="s">
        <v>21</v>
      </c>
      <c r="D4" s="9" t="s">
        <v>22</v>
      </c>
      <c r="E4" s="9" t="s">
        <v>459</v>
      </c>
      <c r="F4" s="9" t="s">
        <v>297</v>
      </c>
      <c r="G4" s="9" t="s">
        <v>460</v>
      </c>
      <c r="H4" s="9" t="s">
        <v>461</v>
      </c>
      <c r="I4" s="9" t="s">
        <v>459</v>
      </c>
      <c r="J4" s="9" t="s">
        <v>297</v>
      </c>
      <c r="K4" s="9" t="s">
        <v>460</v>
      </c>
      <c r="L4" s="162" t="s">
        <v>462</v>
      </c>
      <c r="M4" s="29"/>
    </row>
    <row r="5" spans="1:13" ht="17.100000000000001" customHeight="1">
      <c r="A5" s="187" t="s">
        <v>25</v>
      </c>
      <c r="B5" s="318">
        <f t="shared" ref="B5:L5" si="0">SUM(B6:B13)</f>
        <v>84512</v>
      </c>
      <c r="C5" s="319">
        <f t="shared" si="0"/>
        <v>40915</v>
      </c>
      <c r="D5" s="319">
        <f t="shared" si="0"/>
        <v>43597</v>
      </c>
      <c r="E5" s="319">
        <f t="shared" si="0"/>
        <v>14444</v>
      </c>
      <c r="F5" s="319">
        <f t="shared" si="0"/>
        <v>23347</v>
      </c>
      <c r="G5" s="319">
        <f t="shared" si="0"/>
        <v>694</v>
      </c>
      <c r="H5" s="319">
        <f t="shared" si="0"/>
        <v>1644</v>
      </c>
      <c r="I5" s="319">
        <f t="shared" si="0"/>
        <v>12212</v>
      </c>
      <c r="J5" s="319">
        <f t="shared" si="0"/>
        <v>23640</v>
      </c>
      <c r="K5" s="319">
        <f t="shared" si="0"/>
        <v>3400</v>
      </c>
      <c r="L5" s="320">
        <f t="shared" si="0"/>
        <v>3673</v>
      </c>
      <c r="M5" s="29"/>
    </row>
    <row r="6" spans="1:13" ht="17.100000000000001" customHeight="1">
      <c r="A6" s="187" t="s">
        <v>298</v>
      </c>
      <c r="B6" s="318">
        <f t="shared" ref="B6:B13" si="1">C6+D6</f>
        <v>6800</v>
      </c>
      <c r="C6" s="319">
        <v>3479</v>
      </c>
      <c r="D6" s="319">
        <v>3321</v>
      </c>
      <c r="E6" s="319">
        <v>3458</v>
      </c>
      <c r="F6" s="319">
        <v>21</v>
      </c>
      <c r="G6" s="334" t="s">
        <v>149</v>
      </c>
      <c r="H6" s="334" t="s">
        <v>149</v>
      </c>
      <c r="I6" s="319">
        <v>3291</v>
      </c>
      <c r="J6" s="319">
        <v>26</v>
      </c>
      <c r="K6" s="334" t="s">
        <v>149</v>
      </c>
      <c r="L6" s="320">
        <v>4</v>
      </c>
      <c r="M6" s="29"/>
    </row>
    <row r="7" spans="1:13" ht="17.100000000000001" customHeight="1">
      <c r="A7" s="187" t="s">
        <v>299</v>
      </c>
      <c r="B7" s="318">
        <f t="shared" si="1"/>
        <v>6455</v>
      </c>
      <c r="C7" s="319">
        <v>3196</v>
      </c>
      <c r="D7" s="319">
        <v>3259</v>
      </c>
      <c r="E7" s="319">
        <v>2871</v>
      </c>
      <c r="F7" s="319">
        <v>309</v>
      </c>
      <c r="G7" s="319">
        <v>2</v>
      </c>
      <c r="H7" s="319">
        <v>14</v>
      </c>
      <c r="I7" s="319">
        <v>2740</v>
      </c>
      <c r="J7" s="319">
        <v>476</v>
      </c>
      <c r="K7" s="319">
        <v>1</v>
      </c>
      <c r="L7" s="320">
        <v>39</v>
      </c>
      <c r="M7" s="29"/>
    </row>
    <row r="8" spans="1:13" ht="17.100000000000001" customHeight="1">
      <c r="A8" s="187" t="s">
        <v>300</v>
      </c>
      <c r="B8" s="318">
        <f t="shared" si="1"/>
        <v>7699</v>
      </c>
      <c r="C8" s="319">
        <v>3739</v>
      </c>
      <c r="D8" s="319">
        <v>3960</v>
      </c>
      <c r="E8" s="319">
        <v>2403</v>
      </c>
      <c r="F8" s="319">
        <v>1281</v>
      </c>
      <c r="G8" s="319">
        <v>1</v>
      </c>
      <c r="H8" s="319">
        <v>53</v>
      </c>
      <c r="I8" s="319">
        <v>2159</v>
      </c>
      <c r="J8" s="319">
        <v>1628</v>
      </c>
      <c r="K8" s="319">
        <v>3</v>
      </c>
      <c r="L8" s="320">
        <v>154</v>
      </c>
      <c r="M8" s="29"/>
    </row>
    <row r="9" spans="1:13" ht="17.100000000000001" customHeight="1">
      <c r="A9" s="187" t="s">
        <v>301</v>
      </c>
      <c r="B9" s="318">
        <f t="shared" si="1"/>
        <v>9498</v>
      </c>
      <c r="C9" s="319">
        <v>4660</v>
      </c>
      <c r="D9" s="319">
        <v>4838</v>
      </c>
      <c r="E9" s="319">
        <v>1955</v>
      </c>
      <c r="F9" s="319">
        <v>2581</v>
      </c>
      <c r="G9" s="319">
        <v>2</v>
      </c>
      <c r="H9" s="319">
        <v>120</v>
      </c>
      <c r="I9" s="319">
        <v>1468</v>
      </c>
      <c r="J9" s="319">
        <v>3056</v>
      </c>
      <c r="K9" s="319">
        <v>8</v>
      </c>
      <c r="L9" s="320">
        <v>288</v>
      </c>
      <c r="M9" s="29"/>
    </row>
    <row r="10" spans="1:13" ht="17.100000000000001" customHeight="1">
      <c r="A10" s="187" t="s">
        <v>302</v>
      </c>
      <c r="B10" s="318">
        <f t="shared" si="1"/>
        <v>15925</v>
      </c>
      <c r="C10" s="319">
        <f>4053+3688</f>
        <v>7741</v>
      </c>
      <c r="D10" s="319">
        <f>4345+3839</f>
        <v>8184</v>
      </c>
      <c r="E10" s="319">
        <f>1058+714</f>
        <v>1772</v>
      </c>
      <c r="F10" s="319">
        <f>2683+2677</f>
        <v>5360</v>
      </c>
      <c r="G10" s="319">
        <v>10</v>
      </c>
      <c r="H10" s="319">
        <f>148+180</f>
        <v>328</v>
      </c>
      <c r="I10" s="319">
        <f>815+527</f>
        <v>1342</v>
      </c>
      <c r="J10" s="319">
        <f>3040+2736</f>
        <v>5776</v>
      </c>
      <c r="K10" s="319">
        <v>43</v>
      </c>
      <c r="L10" s="320">
        <v>841</v>
      </c>
      <c r="M10" s="29"/>
    </row>
    <row r="11" spans="1:13" ht="17.100000000000001" customHeight="1">
      <c r="A11" s="187" t="s">
        <v>303</v>
      </c>
      <c r="B11" s="318">
        <f t="shared" si="1"/>
        <v>14281</v>
      </c>
      <c r="C11" s="319">
        <f>3527+3596</f>
        <v>7123</v>
      </c>
      <c r="D11" s="319">
        <f>3430+3728</f>
        <v>7158</v>
      </c>
      <c r="E11" s="319">
        <f>692+559</f>
        <v>1251</v>
      </c>
      <c r="F11" s="319">
        <f>2451+2637</f>
        <v>5088</v>
      </c>
      <c r="G11" s="319">
        <f>14+34</f>
        <v>48</v>
      </c>
      <c r="H11" s="319">
        <f>244+238</f>
        <v>482</v>
      </c>
      <c r="I11" s="319">
        <f>334+304</f>
        <v>638</v>
      </c>
      <c r="J11" s="319">
        <f>2432+2679</f>
        <v>5111</v>
      </c>
      <c r="K11" s="319">
        <f>86+129</f>
        <v>215</v>
      </c>
      <c r="L11" s="320">
        <v>1066</v>
      </c>
      <c r="M11" s="29"/>
    </row>
    <row r="12" spans="1:13" ht="17.100000000000001" customHeight="1">
      <c r="A12" s="187" t="s">
        <v>304</v>
      </c>
      <c r="B12" s="318">
        <f t="shared" si="1"/>
        <v>10685</v>
      </c>
      <c r="C12" s="319">
        <f>3086+2202</f>
        <v>5288</v>
      </c>
      <c r="D12" s="319">
        <f>3051+2346</f>
        <v>5397</v>
      </c>
      <c r="E12" s="319">
        <f>355+165</f>
        <v>520</v>
      </c>
      <c r="F12" s="319">
        <f>2358+1782</f>
        <v>4140</v>
      </c>
      <c r="G12" s="319">
        <f>44+49</f>
        <v>93</v>
      </c>
      <c r="H12" s="319">
        <f>245+154</f>
        <v>399</v>
      </c>
      <c r="I12" s="319">
        <f>217+112</f>
        <v>329</v>
      </c>
      <c r="J12" s="319">
        <f>2184+1694</f>
        <v>3878</v>
      </c>
      <c r="K12" s="319">
        <f>165+245</f>
        <v>410</v>
      </c>
      <c r="L12" s="320">
        <v>672</v>
      </c>
      <c r="M12" s="29"/>
    </row>
    <row r="13" spans="1:13" ht="17.100000000000001" customHeight="1">
      <c r="A13" s="187" t="s">
        <v>305</v>
      </c>
      <c r="B13" s="318">
        <f t="shared" si="1"/>
        <v>13169</v>
      </c>
      <c r="C13" s="319">
        <v>5689</v>
      </c>
      <c r="D13" s="319">
        <v>7480</v>
      </c>
      <c r="E13" s="319">
        <v>214</v>
      </c>
      <c r="F13" s="319">
        <v>4567</v>
      </c>
      <c r="G13" s="319">
        <v>538</v>
      </c>
      <c r="H13" s="319">
        <v>248</v>
      </c>
      <c r="I13" s="319">
        <v>245</v>
      </c>
      <c r="J13" s="319">
        <v>3689</v>
      </c>
      <c r="K13" s="319">
        <v>2720</v>
      </c>
      <c r="L13" s="320">
        <v>609</v>
      </c>
      <c r="M13" s="29"/>
    </row>
    <row r="14" spans="1:13" ht="17.100000000000001" customHeight="1">
      <c r="A14" s="187"/>
      <c r="B14" s="318"/>
      <c r="C14" s="319"/>
      <c r="D14" s="319"/>
      <c r="E14" s="319"/>
      <c r="F14" s="319"/>
      <c r="G14" s="319"/>
      <c r="H14" s="319"/>
      <c r="I14" s="319"/>
      <c r="J14" s="319"/>
      <c r="K14" s="319"/>
      <c r="L14" s="320"/>
      <c r="M14" s="29"/>
    </row>
    <row r="15" spans="1:13" ht="17.100000000000001" customHeight="1">
      <c r="A15" s="187" t="s">
        <v>26</v>
      </c>
      <c r="B15" s="318">
        <f t="shared" ref="B15:L15" si="2">SUM(B16:B23)</f>
        <v>88533</v>
      </c>
      <c r="C15" s="319">
        <f t="shared" si="2"/>
        <v>42642</v>
      </c>
      <c r="D15" s="319">
        <f t="shared" si="2"/>
        <v>45891</v>
      </c>
      <c r="E15" s="325">
        <f t="shared" si="2"/>
        <v>15011</v>
      </c>
      <c r="F15" s="325">
        <f t="shared" si="2"/>
        <v>24108</v>
      </c>
      <c r="G15" s="325">
        <f t="shared" si="2"/>
        <v>790</v>
      </c>
      <c r="H15" s="325">
        <f t="shared" si="2"/>
        <v>1947</v>
      </c>
      <c r="I15" s="325">
        <f t="shared" si="2"/>
        <v>12647</v>
      </c>
      <c r="J15" s="325">
        <f t="shared" si="2"/>
        <v>24456</v>
      </c>
      <c r="K15" s="325">
        <f t="shared" si="2"/>
        <v>3675</v>
      </c>
      <c r="L15" s="327">
        <f t="shared" si="2"/>
        <v>4003</v>
      </c>
      <c r="M15" s="529"/>
    </row>
    <row r="16" spans="1:13" ht="17.100000000000001" customHeight="1">
      <c r="A16" s="187" t="s">
        <v>298</v>
      </c>
      <c r="B16" s="318">
        <f t="shared" ref="B16:B23" si="3">C16+D16</f>
        <v>6685</v>
      </c>
      <c r="C16" s="319">
        <v>3405</v>
      </c>
      <c r="D16" s="319">
        <v>3280</v>
      </c>
      <c r="E16" s="325">
        <v>3384</v>
      </c>
      <c r="F16" s="325">
        <v>16</v>
      </c>
      <c r="G16" s="308">
        <v>0</v>
      </c>
      <c r="H16" s="308">
        <v>0</v>
      </c>
      <c r="I16" s="325">
        <v>3248</v>
      </c>
      <c r="J16" s="325">
        <v>26</v>
      </c>
      <c r="K16" s="308">
        <v>0</v>
      </c>
      <c r="L16" s="326">
        <v>3</v>
      </c>
      <c r="M16" s="29"/>
    </row>
    <row r="17" spans="1:13" ht="17.100000000000001" customHeight="1">
      <c r="A17" s="187" t="s">
        <v>299</v>
      </c>
      <c r="B17" s="318">
        <f t="shared" si="3"/>
        <v>5890</v>
      </c>
      <c r="C17" s="319">
        <v>2967</v>
      </c>
      <c r="D17" s="319">
        <v>2923</v>
      </c>
      <c r="E17" s="325">
        <v>2660</v>
      </c>
      <c r="F17" s="325">
        <v>260</v>
      </c>
      <c r="G17" s="325">
        <v>1</v>
      </c>
      <c r="H17" s="325">
        <v>12</v>
      </c>
      <c r="I17" s="325">
        <v>2490</v>
      </c>
      <c r="J17" s="325">
        <v>356</v>
      </c>
      <c r="K17" s="308">
        <v>0</v>
      </c>
      <c r="L17" s="327">
        <v>44</v>
      </c>
      <c r="M17" s="29"/>
    </row>
    <row r="18" spans="1:13" ht="17.100000000000001" customHeight="1">
      <c r="A18" s="187" t="s">
        <v>300</v>
      </c>
      <c r="B18" s="318">
        <f t="shared" si="3"/>
        <v>7274</v>
      </c>
      <c r="C18" s="319">
        <v>3500</v>
      </c>
      <c r="D18" s="319">
        <v>3774</v>
      </c>
      <c r="E18" s="325">
        <v>2266</v>
      </c>
      <c r="F18" s="325">
        <v>1109</v>
      </c>
      <c r="G18" s="325">
        <v>1</v>
      </c>
      <c r="H18" s="325">
        <v>57</v>
      </c>
      <c r="I18" s="325">
        <v>2129</v>
      </c>
      <c r="J18" s="325">
        <v>1452</v>
      </c>
      <c r="K18" s="308">
        <v>0</v>
      </c>
      <c r="L18" s="327">
        <v>118</v>
      </c>
      <c r="M18" s="29"/>
    </row>
    <row r="19" spans="1:13" ht="17.100000000000001" customHeight="1">
      <c r="A19" s="187" t="s">
        <v>301</v>
      </c>
      <c r="B19" s="318">
        <f t="shared" si="3"/>
        <v>8032</v>
      </c>
      <c r="C19" s="319">
        <v>3893</v>
      </c>
      <c r="D19" s="319">
        <v>4139</v>
      </c>
      <c r="E19" s="325">
        <v>1603</v>
      </c>
      <c r="F19" s="325">
        <v>2107</v>
      </c>
      <c r="G19" s="325">
        <v>1</v>
      </c>
      <c r="H19" s="325">
        <v>117</v>
      </c>
      <c r="I19" s="325">
        <v>1261</v>
      </c>
      <c r="J19" s="325">
        <v>2518</v>
      </c>
      <c r="K19" s="325">
        <v>2</v>
      </c>
      <c r="L19" s="327">
        <v>256</v>
      </c>
      <c r="M19" s="29"/>
    </row>
    <row r="20" spans="1:13" ht="17.100000000000001" customHeight="1">
      <c r="A20" s="187" t="s">
        <v>302</v>
      </c>
      <c r="B20" s="318">
        <f t="shared" si="3"/>
        <v>17533</v>
      </c>
      <c r="C20" s="319">
        <v>8578</v>
      </c>
      <c r="D20" s="319">
        <v>8955</v>
      </c>
      <c r="E20" s="325">
        <f>1433+1000</f>
        <v>2433</v>
      </c>
      <c r="F20" s="325">
        <f>2957+2633</f>
        <v>5590</v>
      </c>
      <c r="G20" s="325">
        <f>1+9</f>
        <v>10</v>
      </c>
      <c r="H20" s="325">
        <f>183+212</f>
        <v>395</v>
      </c>
      <c r="I20" s="325">
        <f>1033+760</f>
        <v>1793</v>
      </c>
      <c r="J20" s="325">
        <f>3194+2890</f>
        <v>6084</v>
      </c>
      <c r="K20" s="325">
        <f>16+31</f>
        <v>47</v>
      </c>
      <c r="L20" s="327">
        <f>406+429</f>
        <v>835</v>
      </c>
      <c r="M20" s="29"/>
    </row>
    <row r="21" spans="1:13" ht="17.100000000000001" customHeight="1">
      <c r="A21" s="187" t="s">
        <v>303</v>
      </c>
      <c r="B21" s="318">
        <f t="shared" si="3"/>
        <v>14135</v>
      </c>
      <c r="C21" s="319">
        <v>6945</v>
      </c>
      <c r="D21" s="319">
        <v>7190</v>
      </c>
      <c r="E21" s="325">
        <f>683+694</f>
        <v>1377</v>
      </c>
      <c r="F21" s="325">
        <f>2559+2352</f>
        <v>4911</v>
      </c>
      <c r="G21" s="325">
        <f>13+21</f>
        <v>34</v>
      </c>
      <c r="H21" s="325">
        <f>214+269</f>
        <v>483</v>
      </c>
      <c r="I21" s="325">
        <f>495+346</f>
        <v>841</v>
      </c>
      <c r="J21" s="325">
        <f>2603+2329</f>
        <v>4932</v>
      </c>
      <c r="K21" s="325">
        <f>60+114</f>
        <v>174</v>
      </c>
      <c r="L21" s="327">
        <f>509+559</f>
        <v>1068</v>
      </c>
      <c r="M21" s="29"/>
    </row>
    <row r="22" spans="1:13" ht="17.100000000000001" customHeight="1">
      <c r="A22" s="187" t="s">
        <v>304</v>
      </c>
      <c r="B22" s="318">
        <f t="shared" si="3"/>
        <v>13138</v>
      </c>
      <c r="C22" s="319">
        <v>6444</v>
      </c>
      <c r="D22" s="319">
        <v>6694</v>
      </c>
      <c r="E22" s="325">
        <f>564+366</f>
        <v>930</v>
      </c>
      <c r="F22" s="325">
        <f>2455+2257</f>
        <v>4712</v>
      </c>
      <c r="G22" s="325">
        <f>49+61</f>
        <v>110</v>
      </c>
      <c r="H22" s="325">
        <f>276+255</f>
        <v>531</v>
      </c>
      <c r="I22" s="325">
        <f>323+199</f>
        <v>522</v>
      </c>
      <c r="J22" s="325">
        <f>2506+2089</f>
        <v>4595</v>
      </c>
      <c r="K22" s="325">
        <f>192+240</f>
        <v>432</v>
      </c>
      <c r="L22" s="327">
        <f>573+406</f>
        <v>979</v>
      </c>
      <c r="M22" s="29"/>
    </row>
    <row r="23" spans="1:13" ht="17.100000000000001" customHeight="1">
      <c r="A23" s="187" t="s">
        <v>305</v>
      </c>
      <c r="B23" s="318">
        <f t="shared" si="3"/>
        <v>15846</v>
      </c>
      <c r="C23" s="319">
        <v>6910</v>
      </c>
      <c r="D23" s="319">
        <v>8936</v>
      </c>
      <c r="E23" s="325">
        <v>358</v>
      </c>
      <c r="F23" s="325">
        <v>5403</v>
      </c>
      <c r="G23" s="325">
        <v>633</v>
      </c>
      <c r="H23" s="325">
        <v>352</v>
      </c>
      <c r="I23" s="325">
        <v>363</v>
      </c>
      <c r="J23" s="325">
        <v>4493</v>
      </c>
      <c r="K23" s="325">
        <v>3020</v>
      </c>
      <c r="L23" s="327">
        <v>700</v>
      </c>
      <c r="M23" s="29"/>
    </row>
    <row r="24" spans="1:13" ht="17.100000000000001" customHeight="1">
      <c r="A24" s="187"/>
      <c r="B24" s="318"/>
      <c r="C24" s="319"/>
      <c r="D24" s="319"/>
      <c r="E24" s="319"/>
      <c r="F24" s="319"/>
      <c r="G24" s="319"/>
      <c r="H24" s="319"/>
      <c r="I24" s="319"/>
      <c r="J24" s="319"/>
      <c r="K24" s="319"/>
      <c r="L24" s="320"/>
      <c r="M24" s="29"/>
    </row>
    <row r="25" spans="1:13" ht="17.100000000000001" customHeight="1">
      <c r="A25" s="186" t="s">
        <v>675</v>
      </c>
      <c r="B25" s="321">
        <f t="shared" ref="B25:L25" si="4">SUM(B26:B33)</f>
        <v>92102</v>
      </c>
      <c r="C25" s="322">
        <f t="shared" si="4"/>
        <v>44202</v>
      </c>
      <c r="D25" s="322">
        <f t="shared" si="4"/>
        <v>47900</v>
      </c>
      <c r="E25" s="323">
        <f t="shared" si="4"/>
        <v>15335</v>
      </c>
      <c r="F25" s="323">
        <f t="shared" si="4"/>
        <v>24439</v>
      </c>
      <c r="G25" s="323">
        <f t="shared" si="4"/>
        <v>924</v>
      </c>
      <c r="H25" s="323">
        <f t="shared" si="4"/>
        <v>2026</v>
      </c>
      <c r="I25" s="323">
        <f t="shared" si="4"/>
        <v>13111</v>
      </c>
      <c r="J25" s="323">
        <f t="shared" si="4"/>
        <v>25209</v>
      </c>
      <c r="K25" s="323">
        <f t="shared" si="4"/>
        <v>3866</v>
      </c>
      <c r="L25" s="324">
        <f t="shared" si="4"/>
        <v>4140</v>
      </c>
      <c r="M25" s="29"/>
    </row>
    <row r="26" spans="1:13" ht="17.100000000000001" customHeight="1">
      <c r="A26" s="187" t="s">
        <v>298</v>
      </c>
      <c r="B26" s="318">
        <v>6904</v>
      </c>
      <c r="C26" s="319">
        <v>3504</v>
      </c>
      <c r="D26" s="319">
        <v>3400</v>
      </c>
      <c r="E26" s="325">
        <v>3468</v>
      </c>
      <c r="F26" s="325">
        <v>25</v>
      </c>
      <c r="G26" s="308">
        <v>0</v>
      </c>
      <c r="H26" s="308">
        <v>0</v>
      </c>
      <c r="I26" s="325">
        <v>3312</v>
      </c>
      <c r="J26" s="325">
        <v>44</v>
      </c>
      <c r="K26" s="308">
        <v>1</v>
      </c>
      <c r="L26" s="326">
        <v>2</v>
      </c>
      <c r="M26" s="29"/>
    </row>
    <row r="27" spans="1:13" ht="17.100000000000001" customHeight="1">
      <c r="A27" s="187" t="s">
        <v>299</v>
      </c>
      <c r="B27" s="318">
        <v>5837</v>
      </c>
      <c r="C27" s="319">
        <v>2909</v>
      </c>
      <c r="D27" s="319">
        <v>2928</v>
      </c>
      <c r="E27" s="325">
        <v>2607</v>
      </c>
      <c r="F27" s="325">
        <v>235</v>
      </c>
      <c r="G27" s="308">
        <v>0</v>
      </c>
      <c r="H27" s="325">
        <v>6</v>
      </c>
      <c r="I27" s="325">
        <v>2492</v>
      </c>
      <c r="J27" s="325">
        <v>332</v>
      </c>
      <c r="K27" s="308">
        <v>2</v>
      </c>
      <c r="L27" s="327">
        <v>36</v>
      </c>
      <c r="M27" s="29"/>
    </row>
    <row r="28" spans="1:13" ht="17.100000000000001" customHeight="1">
      <c r="A28" s="187" t="s">
        <v>300</v>
      </c>
      <c r="B28" s="318">
        <v>6462</v>
      </c>
      <c r="C28" s="319">
        <v>3200</v>
      </c>
      <c r="D28" s="319">
        <v>3262</v>
      </c>
      <c r="E28" s="325">
        <v>2111</v>
      </c>
      <c r="F28" s="325">
        <v>947</v>
      </c>
      <c r="G28" s="325">
        <v>1</v>
      </c>
      <c r="H28" s="325">
        <v>39</v>
      </c>
      <c r="I28" s="325">
        <v>1873</v>
      </c>
      <c r="J28" s="325">
        <v>1203</v>
      </c>
      <c r="K28" s="308">
        <v>0</v>
      </c>
      <c r="L28" s="327">
        <v>93</v>
      </c>
      <c r="M28" s="29"/>
    </row>
    <row r="29" spans="1:13" ht="17.100000000000001" customHeight="1">
      <c r="A29" s="187" t="s">
        <v>301</v>
      </c>
      <c r="B29" s="318">
        <v>7395</v>
      </c>
      <c r="C29" s="319">
        <v>3568</v>
      </c>
      <c r="D29" s="319">
        <v>3827</v>
      </c>
      <c r="E29" s="325">
        <v>1525</v>
      </c>
      <c r="F29" s="325">
        <v>1859</v>
      </c>
      <c r="G29" s="325">
        <v>1</v>
      </c>
      <c r="H29" s="325">
        <v>100</v>
      </c>
      <c r="I29" s="325">
        <v>1325</v>
      </c>
      <c r="J29" s="325">
        <v>2227</v>
      </c>
      <c r="K29" s="325">
        <v>3</v>
      </c>
      <c r="L29" s="327">
        <v>189</v>
      </c>
      <c r="M29" s="29"/>
    </row>
    <row r="30" spans="1:13" ht="17.100000000000001" customHeight="1">
      <c r="A30" s="187" t="s">
        <v>302</v>
      </c>
      <c r="B30" s="318">
        <v>17177</v>
      </c>
      <c r="C30" s="319">
        <v>8369</v>
      </c>
      <c r="D30" s="319">
        <v>8808</v>
      </c>
      <c r="E30" s="325">
        <v>2385</v>
      </c>
      <c r="F30" s="325">
        <v>5335</v>
      </c>
      <c r="G30" s="325">
        <v>9</v>
      </c>
      <c r="H30" s="325">
        <v>394</v>
      </c>
      <c r="I30" s="325">
        <v>1753</v>
      </c>
      <c r="J30" s="325">
        <v>6038</v>
      </c>
      <c r="K30" s="325">
        <v>26</v>
      </c>
      <c r="L30" s="327">
        <v>798</v>
      </c>
      <c r="M30" s="29"/>
    </row>
    <row r="31" spans="1:13" ht="17.100000000000001" customHeight="1">
      <c r="A31" s="187" t="s">
        <v>303</v>
      </c>
      <c r="B31" s="318">
        <v>15200</v>
      </c>
      <c r="C31" s="319">
        <v>7341</v>
      </c>
      <c r="D31" s="319">
        <v>7859</v>
      </c>
      <c r="E31" s="325">
        <v>1535</v>
      </c>
      <c r="F31" s="325">
        <v>5055</v>
      </c>
      <c r="G31" s="325">
        <v>35</v>
      </c>
      <c r="H31" s="325">
        <v>472</v>
      </c>
      <c r="I31" s="325">
        <v>1205</v>
      </c>
      <c r="J31" s="325">
        <v>5348</v>
      </c>
      <c r="K31" s="325">
        <v>123</v>
      </c>
      <c r="L31" s="327">
        <v>963</v>
      </c>
      <c r="M31" s="29"/>
    </row>
    <row r="32" spans="1:13" ht="17.100000000000001" customHeight="1">
      <c r="A32" s="187" t="s">
        <v>304</v>
      </c>
      <c r="B32" s="318">
        <v>13651</v>
      </c>
      <c r="C32" s="319">
        <v>6662</v>
      </c>
      <c r="D32" s="319">
        <v>6989</v>
      </c>
      <c r="E32" s="325">
        <v>1119</v>
      </c>
      <c r="F32" s="325">
        <v>4574</v>
      </c>
      <c r="G32" s="325">
        <v>127</v>
      </c>
      <c r="H32" s="325">
        <v>529</v>
      </c>
      <c r="I32" s="325">
        <v>626</v>
      </c>
      <c r="J32" s="325">
        <v>4597</v>
      </c>
      <c r="K32" s="325">
        <v>441</v>
      </c>
      <c r="L32" s="327">
        <v>1091</v>
      </c>
      <c r="M32" s="29"/>
    </row>
    <row r="33" spans="1:13" ht="17.100000000000001" customHeight="1" thickBot="1">
      <c r="A33" s="188" t="s">
        <v>305</v>
      </c>
      <c r="B33" s="328">
        <v>19476</v>
      </c>
      <c r="C33" s="329">
        <v>8649</v>
      </c>
      <c r="D33" s="329">
        <v>10827</v>
      </c>
      <c r="E33" s="330">
        <v>585</v>
      </c>
      <c r="F33" s="330">
        <v>6409</v>
      </c>
      <c r="G33" s="330">
        <v>751</v>
      </c>
      <c r="H33" s="330">
        <v>486</v>
      </c>
      <c r="I33" s="330">
        <v>525</v>
      </c>
      <c r="J33" s="330">
        <v>5420</v>
      </c>
      <c r="K33" s="330">
        <v>3270</v>
      </c>
      <c r="L33" s="331">
        <v>968</v>
      </c>
      <c r="M33" s="29"/>
    </row>
    <row r="34" spans="1:13" ht="15" customHeight="1">
      <c r="A34" s="5" t="s">
        <v>677</v>
      </c>
      <c r="B34" s="6"/>
      <c r="C34" s="6"/>
      <c r="D34" s="6"/>
      <c r="E34" s="6"/>
      <c r="F34" s="6"/>
      <c r="G34" s="6"/>
      <c r="H34" s="6"/>
      <c r="I34" s="6"/>
      <c r="J34" s="6"/>
      <c r="K34" s="6"/>
      <c r="L34" s="7" t="s">
        <v>676</v>
      </c>
      <c r="M34" s="6"/>
    </row>
    <row r="35" spans="1:13" ht="15" customHeight="1">
      <c r="A35" s="5"/>
      <c r="B35" s="6"/>
      <c r="C35" s="6"/>
      <c r="D35" s="6"/>
      <c r="E35" s="6"/>
      <c r="F35" s="6"/>
      <c r="G35" s="6"/>
      <c r="H35" s="6"/>
      <c r="I35" s="6"/>
      <c r="J35" s="6"/>
      <c r="K35" s="6"/>
      <c r="L35" s="6"/>
      <c r="M35" s="6"/>
    </row>
    <row r="36" spans="1:13" ht="15" customHeight="1" thickBot="1">
      <c r="A36" s="5" t="s">
        <v>306</v>
      </c>
      <c r="B36" s="6"/>
      <c r="C36" s="6"/>
      <c r="D36" s="6"/>
      <c r="E36" s="6"/>
      <c r="F36" s="6"/>
      <c r="G36" s="6"/>
      <c r="H36" s="6"/>
      <c r="I36" s="6"/>
      <c r="J36" s="6"/>
      <c r="K36" s="6"/>
      <c r="L36" s="7" t="s">
        <v>307</v>
      </c>
      <c r="M36" s="6"/>
    </row>
    <row r="37" spans="1:13" ht="21" customHeight="1">
      <c r="A37" s="936" t="s">
        <v>308</v>
      </c>
      <c r="B37" s="981"/>
      <c r="C37" s="982" t="s">
        <v>457</v>
      </c>
      <c r="D37" s="983"/>
      <c r="E37" s="144" t="s">
        <v>309</v>
      </c>
      <c r="F37" s="933" t="s">
        <v>473</v>
      </c>
      <c r="G37" s="933"/>
      <c r="H37" s="933"/>
      <c r="I37" s="933"/>
      <c r="J37" s="933"/>
      <c r="K37" s="933"/>
      <c r="L37" s="980"/>
    </row>
    <row r="38" spans="1:13" ht="21" customHeight="1">
      <c r="A38" s="986" t="s">
        <v>310</v>
      </c>
      <c r="B38" s="867"/>
      <c r="C38" s="984"/>
      <c r="D38" s="985"/>
      <c r="E38" s="10" t="s">
        <v>311</v>
      </c>
      <c r="F38" s="8" t="s">
        <v>164</v>
      </c>
      <c r="G38" s="8" t="s">
        <v>312</v>
      </c>
      <c r="H38" s="8" t="s">
        <v>313</v>
      </c>
      <c r="I38" s="8" t="s">
        <v>314</v>
      </c>
      <c r="J38" s="8" t="s">
        <v>315</v>
      </c>
      <c r="K38" s="8" t="s">
        <v>316</v>
      </c>
      <c r="L38" s="189" t="s">
        <v>317</v>
      </c>
    </row>
    <row r="39" spans="1:13" s="79" customFormat="1" ht="17.100000000000001" customHeight="1">
      <c r="A39" s="975" t="s">
        <v>428</v>
      </c>
      <c r="B39" s="976"/>
      <c r="C39" s="977">
        <f>SUM(C41:D47)</f>
        <v>6666</v>
      </c>
      <c r="D39" s="977"/>
      <c r="E39" s="314">
        <f t="shared" ref="E39:L39" si="5">SUM(E41:E47)</f>
        <v>2903</v>
      </c>
      <c r="F39" s="314">
        <f>SUM(F41:F47)</f>
        <v>3763</v>
      </c>
      <c r="G39" s="314">
        <f t="shared" si="5"/>
        <v>990</v>
      </c>
      <c r="H39" s="314">
        <f t="shared" si="5"/>
        <v>945</v>
      </c>
      <c r="I39" s="314">
        <f t="shared" si="5"/>
        <v>750</v>
      </c>
      <c r="J39" s="314">
        <f t="shared" si="5"/>
        <v>635</v>
      </c>
      <c r="K39" s="314">
        <f t="shared" si="5"/>
        <v>332</v>
      </c>
      <c r="L39" s="315">
        <f t="shared" si="5"/>
        <v>111</v>
      </c>
    </row>
    <row r="40" spans="1:13" ht="17.100000000000001" customHeight="1">
      <c r="A40" s="972"/>
      <c r="B40" s="973"/>
      <c r="C40" s="72"/>
      <c r="D40" s="382"/>
      <c r="E40" s="73"/>
      <c r="F40" s="73"/>
      <c r="G40" s="73"/>
      <c r="H40" s="73"/>
      <c r="I40" s="73"/>
      <c r="J40" s="73"/>
      <c r="K40" s="73"/>
      <c r="L40" s="316"/>
    </row>
    <row r="41" spans="1:13" ht="17.100000000000001" customHeight="1">
      <c r="A41" s="978" t="s">
        <v>318</v>
      </c>
      <c r="B41" s="979"/>
      <c r="C41" s="974">
        <v>2555</v>
      </c>
      <c r="D41" s="974"/>
      <c r="E41" s="73">
        <v>2466</v>
      </c>
      <c r="F41" s="73">
        <f t="shared" ref="F41:F47" si="6">SUM(G41:L41)</f>
        <v>89</v>
      </c>
      <c r="G41" s="73">
        <v>72</v>
      </c>
      <c r="H41" s="73">
        <v>13</v>
      </c>
      <c r="I41" s="73">
        <v>3</v>
      </c>
      <c r="J41" s="334">
        <v>1</v>
      </c>
      <c r="K41" s="334">
        <v>0</v>
      </c>
      <c r="L41" s="383">
        <v>0</v>
      </c>
    </row>
    <row r="42" spans="1:13" ht="17.100000000000001" customHeight="1">
      <c r="A42" s="972" t="s">
        <v>312</v>
      </c>
      <c r="B42" s="973"/>
      <c r="C42" s="974">
        <v>851</v>
      </c>
      <c r="D42" s="974"/>
      <c r="E42" s="73">
        <v>314</v>
      </c>
      <c r="F42" s="73">
        <f t="shared" si="6"/>
        <v>537</v>
      </c>
      <c r="G42" s="73">
        <v>436</v>
      </c>
      <c r="H42" s="73">
        <v>88</v>
      </c>
      <c r="I42" s="73">
        <v>10</v>
      </c>
      <c r="J42" s="334">
        <v>2</v>
      </c>
      <c r="K42" s="334">
        <v>0</v>
      </c>
      <c r="L42" s="383">
        <v>1</v>
      </c>
    </row>
    <row r="43" spans="1:13" ht="17.100000000000001" customHeight="1">
      <c r="A43" s="972" t="s">
        <v>313</v>
      </c>
      <c r="B43" s="973"/>
      <c r="C43" s="974">
        <v>997</v>
      </c>
      <c r="D43" s="974"/>
      <c r="E43" s="73">
        <v>97</v>
      </c>
      <c r="F43" s="73">
        <f t="shared" si="6"/>
        <v>900</v>
      </c>
      <c r="G43" s="73">
        <v>382</v>
      </c>
      <c r="H43" s="73">
        <v>459</v>
      </c>
      <c r="I43" s="73">
        <v>46</v>
      </c>
      <c r="J43" s="73">
        <v>11</v>
      </c>
      <c r="K43" s="73">
        <v>1</v>
      </c>
      <c r="L43" s="316">
        <v>1</v>
      </c>
    </row>
    <row r="44" spans="1:13" ht="17.100000000000001" customHeight="1">
      <c r="A44" s="972" t="s">
        <v>314</v>
      </c>
      <c r="B44" s="973"/>
      <c r="C44" s="974">
        <v>787</v>
      </c>
      <c r="D44" s="974"/>
      <c r="E44" s="73">
        <v>21</v>
      </c>
      <c r="F44" s="73">
        <f t="shared" si="6"/>
        <v>766</v>
      </c>
      <c r="G44" s="73">
        <v>75</v>
      </c>
      <c r="H44" s="73">
        <v>297</v>
      </c>
      <c r="I44" s="73">
        <v>330</v>
      </c>
      <c r="J44" s="73">
        <v>56</v>
      </c>
      <c r="K44" s="73">
        <v>8</v>
      </c>
      <c r="L44" s="743">
        <v>0</v>
      </c>
    </row>
    <row r="45" spans="1:13" ht="17.100000000000001" customHeight="1">
      <c r="A45" s="972" t="s">
        <v>315</v>
      </c>
      <c r="B45" s="973"/>
      <c r="C45" s="974">
        <v>797</v>
      </c>
      <c r="D45" s="974"/>
      <c r="E45" s="73">
        <v>4</v>
      </c>
      <c r="F45" s="73">
        <f t="shared" si="6"/>
        <v>793</v>
      </c>
      <c r="G45" s="73">
        <v>19</v>
      </c>
      <c r="H45" s="73">
        <v>73</v>
      </c>
      <c r="I45" s="73">
        <v>304</v>
      </c>
      <c r="J45" s="73">
        <v>343</v>
      </c>
      <c r="K45" s="73">
        <v>45</v>
      </c>
      <c r="L45" s="316">
        <v>9</v>
      </c>
    </row>
    <row r="46" spans="1:13" ht="17.100000000000001" customHeight="1">
      <c r="A46" s="972" t="s">
        <v>316</v>
      </c>
      <c r="B46" s="973"/>
      <c r="C46" s="974">
        <v>477</v>
      </c>
      <c r="D46" s="974"/>
      <c r="E46" s="384">
        <v>1</v>
      </c>
      <c r="F46" s="73">
        <f t="shared" si="6"/>
        <v>476</v>
      </c>
      <c r="G46" s="73">
        <v>5</v>
      </c>
      <c r="H46" s="73">
        <v>14</v>
      </c>
      <c r="I46" s="73">
        <v>51</v>
      </c>
      <c r="J46" s="73">
        <v>203</v>
      </c>
      <c r="K46" s="73">
        <v>189</v>
      </c>
      <c r="L46" s="316">
        <v>14</v>
      </c>
    </row>
    <row r="47" spans="1:13" s="80" customFormat="1" ht="17.100000000000001" customHeight="1" thickBot="1">
      <c r="A47" s="969" t="s">
        <v>317</v>
      </c>
      <c r="B47" s="970"/>
      <c r="C47" s="971">
        <v>202</v>
      </c>
      <c r="D47" s="971"/>
      <c r="E47" s="385" t="s">
        <v>464</v>
      </c>
      <c r="F47" s="317">
        <f t="shared" si="6"/>
        <v>202</v>
      </c>
      <c r="G47" s="385">
        <v>1</v>
      </c>
      <c r="H47" s="317">
        <v>1</v>
      </c>
      <c r="I47" s="317">
        <v>6</v>
      </c>
      <c r="J47" s="317">
        <v>19</v>
      </c>
      <c r="K47" s="317">
        <v>89</v>
      </c>
      <c r="L47" s="197">
        <v>86</v>
      </c>
    </row>
    <row r="48" spans="1:13" ht="15" customHeight="1">
      <c r="B48" s="6"/>
      <c r="C48" s="6"/>
      <c r="D48" s="6"/>
      <c r="E48" s="6"/>
      <c r="F48" s="6"/>
      <c r="G48" s="6"/>
      <c r="H48" s="6"/>
      <c r="I48" s="6"/>
      <c r="J48" s="6"/>
      <c r="K48" s="6"/>
      <c r="L48" s="7" t="s">
        <v>678</v>
      </c>
      <c r="M48" s="6"/>
    </row>
  </sheetData>
  <sheetProtection selectLockedCells="1" selectUnlockedCells="1"/>
  <mergeCells count="25">
    <mergeCell ref="E3:H3"/>
    <mergeCell ref="I3:L3"/>
    <mergeCell ref="A37:B37"/>
    <mergeCell ref="C37:D38"/>
    <mergeCell ref="F37:L37"/>
    <mergeCell ref="A38:B38"/>
    <mergeCell ref="A42:B42"/>
    <mergeCell ref="C42:D42"/>
    <mergeCell ref="A3:A4"/>
    <mergeCell ref="B3:D3"/>
    <mergeCell ref="A39:B39"/>
    <mergeCell ref="C39:D39"/>
    <mergeCell ref="A40:B40"/>
    <mergeCell ref="A41:B41"/>
    <mergeCell ref="C41:D41"/>
    <mergeCell ref="A47:B47"/>
    <mergeCell ref="C47:D47"/>
    <mergeCell ref="A43:B43"/>
    <mergeCell ref="C43:D43"/>
    <mergeCell ref="A44:B44"/>
    <mergeCell ref="C44:D44"/>
    <mergeCell ref="A45:B45"/>
    <mergeCell ref="C45:D45"/>
    <mergeCell ref="A46:B46"/>
    <mergeCell ref="C46:D46"/>
  </mergeCells>
  <phoneticPr fontId="19"/>
  <printOptions horizontalCentered="1"/>
  <pageMargins left="0.59055118110236227" right="0.59055118110236227" top="0.59055118110236227" bottom="0.59055118110236227" header="0.39370078740157483" footer="0.39370078740157483"/>
  <pageSetup paperSize="9" firstPageNumber="0" orientation="portrait" r:id="rId1"/>
  <headerFooter scaleWithDoc="0" alignWithMargins="0">
    <oddHeader>&amp;R&amp;"ＭＳ 明朝,標準"&amp;10人　口</oddHeader>
    <oddFooter>&amp;C&amp;"ＭＳ 明朝,標準"&amp;12&amp;A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view="pageBreakPreview" topLeftCell="A28" zoomScale="90" zoomScaleNormal="90" zoomScaleSheetLayoutView="90" workbookViewId="0">
      <selection activeCell="I243" sqref="I243"/>
    </sheetView>
  </sheetViews>
  <sheetFormatPr defaultRowHeight="16.5" customHeight="1"/>
  <cols>
    <col min="1" max="1" width="3.125" style="6" customWidth="1"/>
    <col min="2" max="2" width="8.375" style="6" customWidth="1"/>
    <col min="3" max="3" width="7.625" style="6" customWidth="1"/>
    <col min="4" max="4" width="1.25" style="6" customWidth="1"/>
    <col min="5" max="5" width="8.375" style="6" customWidth="1"/>
    <col min="6" max="6" width="10" style="6" customWidth="1"/>
    <col min="7" max="12" width="8.375" style="6" customWidth="1"/>
    <col min="13" max="13" width="0.875" style="6" customWidth="1"/>
    <col min="14" max="24" width="8" style="6" customWidth="1"/>
    <col min="25" max="16384" width="9" style="6"/>
  </cols>
  <sheetData>
    <row r="1" spans="1:24" ht="5.0999999999999996" customHeight="1">
      <c r="A1" s="48"/>
      <c r="B1" s="5"/>
      <c r="C1" s="5"/>
      <c r="D1" s="5"/>
      <c r="N1" s="957"/>
      <c r="O1" s="957"/>
      <c r="P1" s="957"/>
      <c r="Q1" s="957"/>
      <c r="R1" s="957"/>
      <c r="S1" s="957"/>
      <c r="T1" s="957"/>
      <c r="U1" s="957"/>
      <c r="V1" s="957"/>
      <c r="W1" s="957"/>
      <c r="X1" s="957"/>
    </row>
    <row r="2" spans="1:24" ht="15" customHeight="1">
      <c r="A2" s="48" t="s">
        <v>319</v>
      </c>
      <c r="B2" s="5"/>
      <c r="C2" s="5"/>
      <c r="D2" s="5"/>
      <c r="N2" s="81"/>
      <c r="O2" s="81"/>
      <c r="P2" s="81"/>
      <c r="Q2" s="81"/>
      <c r="R2" s="81"/>
      <c r="S2" s="81"/>
      <c r="T2" s="81"/>
      <c r="U2" s="81"/>
      <c r="V2" s="81"/>
      <c r="W2" s="81"/>
      <c r="X2" s="81"/>
    </row>
    <row r="3" spans="1:24" ht="5.0999999999999996" customHeight="1">
      <c r="A3" s="48"/>
      <c r="B3" s="5"/>
      <c r="C3" s="5"/>
      <c r="D3" s="5"/>
      <c r="N3" s="81"/>
      <c r="O3" s="81"/>
      <c r="P3" s="81"/>
      <c r="Q3" s="81"/>
      <c r="R3" s="81"/>
      <c r="S3" s="81"/>
      <c r="T3" s="81"/>
      <c r="U3" s="81"/>
      <c r="V3" s="81"/>
      <c r="W3" s="81"/>
      <c r="X3" s="81"/>
    </row>
    <row r="4" spans="1:24" s="80" customFormat="1" ht="60" customHeight="1">
      <c r="A4" s="987" t="s">
        <v>716</v>
      </c>
      <c r="B4" s="987"/>
      <c r="C4" s="987"/>
      <c r="D4" s="987"/>
      <c r="E4" s="987"/>
      <c r="F4" s="987"/>
      <c r="G4" s="987"/>
      <c r="H4" s="987"/>
      <c r="I4" s="987"/>
      <c r="J4" s="987"/>
      <c r="K4" s="987"/>
      <c r="L4" s="987"/>
      <c r="M4" s="82"/>
      <c r="N4" s="955" t="s">
        <v>690</v>
      </c>
      <c r="O4" s="955"/>
      <c r="P4" s="955"/>
      <c r="Q4" s="955"/>
      <c r="R4" s="955"/>
      <c r="S4" s="955"/>
      <c r="T4" s="955"/>
      <c r="U4" s="955"/>
      <c r="V4" s="955"/>
      <c r="W4" s="955"/>
      <c r="X4" s="955"/>
    </row>
    <row r="5" spans="1:24" ht="12" customHeight="1">
      <c r="A5" s="987"/>
      <c r="B5" s="987"/>
      <c r="C5" s="987"/>
      <c r="D5" s="987"/>
      <c r="E5" s="987"/>
      <c r="F5" s="987"/>
      <c r="G5" s="987"/>
      <c r="H5" s="987"/>
      <c r="I5" s="987"/>
      <c r="J5" s="987"/>
      <c r="K5" s="987"/>
      <c r="L5" s="987"/>
      <c r="N5" s="5" t="s">
        <v>30</v>
      </c>
    </row>
    <row r="6" spans="1:24" ht="15" customHeight="1" thickBot="1">
      <c r="A6" s="14" t="s">
        <v>320</v>
      </c>
      <c r="L6" s="7" t="s">
        <v>28</v>
      </c>
      <c r="N6" s="5" t="s">
        <v>321</v>
      </c>
      <c r="X6" s="7"/>
    </row>
    <row r="7" spans="1:24" ht="20.100000000000001" customHeight="1">
      <c r="A7" s="932" t="s">
        <v>322</v>
      </c>
      <c r="B7" s="933"/>
      <c r="C7" s="1023" t="s">
        <v>474</v>
      </c>
      <c r="D7" s="1023"/>
      <c r="E7" s="1023"/>
      <c r="F7" s="1023"/>
      <c r="G7" s="1023" t="s">
        <v>475</v>
      </c>
      <c r="H7" s="1023"/>
      <c r="I7" s="1023"/>
      <c r="J7" s="1023" t="s">
        <v>476</v>
      </c>
      <c r="K7" s="1023"/>
      <c r="L7" s="1024"/>
      <c r="M7" s="7"/>
      <c r="N7" s="932" t="s">
        <v>323</v>
      </c>
      <c r="O7" s="933"/>
      <c r="P7" s="933"/>
      <c r="Q7" s="933" t="s">
        <v>324</v>
      </c>
      <c r="R7" s="933"/>
      <c r="S7" s="933" t="s">
        <v>325</v>
      </c>
      <c r="T7" s="933"/>
      <c r="U7" s="933" t="s">
        <v>326</v>
      </c>
      <c r="V7" s="933"/>
      <c r="W7" s="933" t="s">
        <v>327</v>
      </c>
      <c r="X7" s="980"/>
    </row>
    <row r="8" spans="1:24" ht="20.100000000000001" customHeight="1">
      <c r="A8" s="934"/>
      <c r="B8" s="935"/>
      <c r="C8" s="1017" t="s">
        <v>328</v>
      </c>
      <c r="D8" s="1017"/>
      <c r="E8" s="1017"/>
      <c r="F8" s="1017"/>
      <c r="G8" s="1017" t="s">
        <v>29</v>
      </c>
      <c r="H8" s="1017"/>
      <c r="I8" s="1017"/>
      <c r="J8" s="1017" t="s">
        <v>329</v>
      </c>
      <c r="K8" s="1017"/>
      <c r="L8" s="1018"/>
      <c r="M8" s="83"/>
      <c r="N8" s="1036" t="s">
        <v>686</v>
      </c>
      <c r="O8" s="1037"/>
      <c r="P8" s="1038"/>
      <c r="Q8" s="1039">
        <v>32</v>
      </c>
      <c r="R8" s="1025"/>
      <c r="S8" s="1025">
        <v>14.5</v>
      </c>
      <c r="T8" s="1025"/>
      <c r="U8" s="1025">
        <v>46.5</v>
      </c>
      <c r="V8" s="1025"/>
      <c r="W8" s="1025">
        <v>45.3</v>
      </c>
      <c r="X8" s="1035"/>
    </row>
    <row r="9" spans="1:24" ht="20.100000000000001" customHeight="1">
      <c r="A9" s="934"/>
      <c r="B9" s="935"/>
      <c r="C9" s="935" t="s">
        <v>457</v>
      </c>
      <c r="D9" s="935"/>
      <c r="E9" s="935"/>
      <c r="F9" s="4" t="s">
        <v>330</v>
      </c>
      <c r="G9" s="935" t="s">
        <v>457</v>
      </c>
      <c r="H9" s="935"/>
      <c r="I9" s="4" t="s">
        <v>330</v>
      </c>
      <c r="J9" s="935" t="s">
        <v>457</v>
      </c>
      <c r="K9" s="935"/>
      <c r="L9" s="190" t="s">
        <v>330</v>
      </c>
      <c r="M9" s="44"/>
      <c r="N9" s="978" t="s">
        <v>687</v>
      </c>
      <c r="O9" s="920"/>
      <c r="P9" s="998"/>
      <c r="Q9" s="1040">
        <v>30.2</v>
      </c>
      <c r="R9" s="1031"/>
      <c r="S9" s="1031">
        <v>18.5</v>
      </c>
      <c r="T9" s="1031"/>
      <c r="U9" s="1031">
        <v>48.6</v>
      </c>
      <c r="V9" s="1031"/>
      <c r="W9" s="1031">
        <v>61.2</v>
      </c>
      <c r="X9" s="1033"/>
    </row>
    <row r="10" spans="1:24" ht="20.100000000000001" customHeight="1">
      <c r="A10" s="1019" t="s">
        <v>680</v>
      </c>
      <c r="B10" s="1020"/>
      <c r="C10" s="1021">
        <v>21892</v>
      </c>
      <c r="D10" s="1022"/>
      <c r="E10" s="1022"/>
      <c r="F10" s="272">
        <v>11286</v>
      </c>
      <c r="G10" s="1021">
        <v>68413</v>
      </c>
      <c r="H10" s="1022"/>
      <c r="I10" s="272">
        <v>33660</v>
      </c>
      <c r="J10" s="1021">
        <v>9917</v>
      </c>
      <c r="K10" s="1022"/>
      <c r="L10" s="273">
        <v>4165</v>
      </c>
      <c r="M10" s="64"/>
      <c r="N10" s="978" t="s">
        <v>689</v>
      </c>
      <c r="O10" s="920"/>
      <c r="P10" s="998"/>
      <c r="Q10" s="992">
        <v>29.3</v>
      </c>
      <c r="R10" s="992"/>
      <c r="S10" s="1031">
        <v>21.8</v>
      </c>
      <c r="T10" s="1031"/>
      <c r="U10" s="1030">
        <v>51.1</v>
      </c>
      <c r="V10" s="1030"/>
      <c r="W10" s="1032">
        <v>74.5</v>
      </c>
      <c r="X10" s="1033"/>
    </row>
    <row r="11" spans="1:24" ht="20.100000000000001" customHeight="1" thickBot="1">
      <c r="A11" s="191"/>
      <c r="B11" s="84"/>
      <c r="C11" s="651"/>
      <c r="D11" s="651"/>
      <c r="E11" s="651"/>
      <c r="F11" s="272"/>
      <c r="G11" s="651"/>
      <c r="H11" s="651"/>
      <c r="I11" s="272"/>
      <c r="J11" s="651"/>
      <c r="K11" s="651"/>
      <c r="L11" s="273"/>
      <c r="M11" s="85"/>
      <c r="N11" s="1013" t="s">
        <v>688</v>
      </c>
      <c r="O11" s="1014"/>
      <c r="P11" s="1015"/>
      <c r="Q11" s="1034">
        <v>28.8</v>
      </c>
      <c r="R11" s="1034"/>
      <c r="S11" s="1029">
        <v>26.8</v>
      </c>
      <c r="T11" s="1029"/>
      <c r="U11" s="1028">
        <v>55.6</v>
      </c>
      <c r="V11" s="1028"/>
      <c r="W11" s="1026">
        <v>93.1</v>
      </c>
      <c r="X11" s="1027"/>
    </row>
    <row r="12" spans="1:24" ht="20.100000000000001" customHeight="1">
      <c r="A12" s="1009" t="s">
        <v>681</v>
      </c>
      <c r="B12" s="1010"/>
      <c r="C12" s="1011">
        <v>21528</v>
      </c>
      <c r="D12" s="1012"/>
      <c r="E12" s="1012"/>
      <c r="F12" s="272">
        <v>11208</v>
      </c>
      <c r="G12" s="1011">
        <v>71343</v>
      </c>
      <c r="H12" s="1012"/>
      <c r="I12" s="272">
        <v>35226</v>
      </c>
      <c r="J12" s="1011">
        <v>13169</v>
      </c>
      <c r="K12" s="1012"/>
      <c r="L12" s="273">
        <v>5689</v>
      </c>
      <c r="M12" s="85"/>
      <c r="X12" s="7" t="s">
        <v>663</v>
      </c>
    </row>
    <row r="13" spans="1:24" ht="20.100000000000001" customHeight="1">
      <c r="A13" s="191"/>
      <c r="B13" s="84"/>
      <c r="C13" s="651"/>
      <c r="D13" s="651"/>
      <c r="E13" s="651"/>
      <c r="F13" s="272"/>
      <c r="G13" s="651"/>
      <c r="H13" s="651"/>
      <c r="I13" s="272"/>
      <c r="J13" s="651"/>
      <c r="K13" s="651"/>
      <c r="L13" s="273"/>
      <c r="M13" s="85"/>
      <c r="N13" s="86"/>
      <c r="P13" s="1016" t="s">
        <v>331</v>
      </c>
      <c r="Q13" s="1016"/>
      <c r="V13" s="87" t="s">
        <v>332</v>
      </c>
    </row>
    <row r="14" spans="1:24" ht="20.100000000000001" customHeight="1">
      <c r="A14" s="1009" t="s">
        <v>682</v>
      </c>
      <c r="B14" s="1010"/>
      <c r="C14" s="1011">
        <v>21264</v>
      </c>
      <c r="D14" s="1012"/>
      <c r="E14" s="1012"/>
      <c r="F14" s="272">
        <v>10962</v>
      </c>
      <c r="G14" s="1011">
        <v>72687</v>
      </c>
      <c r="H14" s="1012"/>
      <c r="I14" s="272">
        <v>35732</v>
      </c>
      <c r="J14" s="1011">
        <v>15846</v>
      </c>
      <c r="K14" s="1012"/>
      <c r="L14" s="273">
        <v>6910</v>
      </c>
      <c r="M14" s="85"/>
      <c r="N14" s="5" t="s">
        <v>333</v>
      </c>
      <c r="O14" s="29"/>
      <c r="P14" s="88"/>
      <c r="Q14" s="5" t="s">
        <v>334</v>
      </c>
      <c r="R14" s="5" t="s">
        <v>335</v>
      </c>
      <c r="T14" s="5" t="s">
        <v>336</v>
      </c>
      <c r="W14" s="5" t="s">
        <v>337</v>
      </c>
    </row>
    <row r="15" spans="1:24" ht="20.100000000000001" customHeight="1">
      <c r="A15" s="191"/>
      <c r="B15" s="84"/>
      <c r="C15" s="274"/>
      <c r="D15" s="274"/>
      <c r="E15" s="274"/>
      <c r="F15" s="272"/>
      <c r="G15" s="274"/>
      <c r="H15" s="274"/>
      <c r="I15" s="272"/>
      <c r="J15" s="274"/>
      <c r="K15" s="274"/>
      <c r="L15" s="273"/>
      <c r="M15" s="85"/>
      <c r="N15" s="69"/>
      <c r="O15" s="88"/>
      <c r="P15" s="1002" t="s">
        <v>338</v>
      </c>
      <c r="Q15" s="1002"/>
      <c r="V15" s="89" t="s">
        <v>338</v>
      </c>
    </row>
    <row r="16" spans="1:24" ht="20.100000000000001" customHeight="1" thickBot="1">
      <c r="A16" s="1006" t="s">
        <v>683</v>
      </c>
      <c r="B16" s="1007"/>
      <c r="C16" s="1008">
        <v>20910</v>
      </c>
      <c r="D16" s="1008"/>
      <c r="E16" s="1008"/>
      <c r="F16" s="275">
        <v>10642</v>
      </c>
      <c r="G16" s="1008">
        <v>72626</v>
      </c>
      <c r="H16" s="1008"/>
      <c r="I16" s="275">
        <v>35553</v>
      </c>
      <c r="J16" s="1008">
        <v>19476</v>
      </c>
      <c r="K16" s="1008"/>
      <c r="L16" s="276">
        <v>8649</v>
      </c>
      <c r="M16" s="85"/>
    </row>
    <row r="17" spans="1:24" ht="20.100000000000001" customHeight="1">
      <c r="A17" s="5" t="s">
        <v>339</v>
      </c>
      <c r="L17" s="7" t="s">
        <v>678</v>
      </c>
      <c r="M17" s="85"/>
      <c r="N17" s="5" t="s">
        <v>340</v>
      </c>
      <c r="O17" s="88"/>
      <c r="P17" s="86" t="s">
        <v>341</v>
      </c>
      <c r="Q17" s="90"/>
      <c r="U17" s="86" t="s">
        <v>342</v>
      </c>
    </row>
    <row r="18" spans="1:24" ht="20.100000000000001" customHeight="1">
      <c r="H18" s="309"/>
      <c r="M18" s="7"/>
      <c r="N18" s="5" t="s">
        <v>343</v>
      </c>
      <c r="O18" s="29"/>
      <c r="S18" s="29" t="s">
        <v>344</v>
      </c>
      <c r="T18" s="5" t="s">
        <v>345</v>
      </c>
      <c r="U18" s="29"/>
      <c r="W18" s="5" t="s">
        <v>346</v>
      </c>
    </row>
    <row r="19" spans="1:24" ht="20.100000000000001" customHeight="1">
      <c r="A19" s="5"/>
      <c r="N19" s="69"/>
      <c r="Q19" s="89" t="s">
        <v>338</v>
      </c>
      <c r="U19" s="1003" t="s">
        <v>331</v>
      </c>
      <c r="V19" s="1003"/>
    </row>
    <row r="20" spans="1:24" ht="12" customHeight="1">
      <c r="A20" s="5"/>
      <c r="N20" s="69"/>
      <c r="Q20" s="89"/>
      <c r="U20" s="91"/>
      <c r="V20" s="91"/>
    </row>
    <row r="21" spans="1:24" ht="15" customHeight="1" thickBot="1">
      <c r="A21" s="14" t="s">
        <v>347</v>
      </c>
      <c r="M21" s="88"/>
      <c r="X21" s="7" t="s">
        <v>200</v>
      </c>
    </row>
    <row r="22" spans="1:24" ht="30" customHeight="1">
      <c r="A22" s="192" t="s">
        <v>348</v>
      </c>
      <c r="B22" s="193"/>
      <c r="C22" s="194"/>
      <c r="D22" s="829" t="s">
        <v>349</v>
      </c>
      <c r="E22" s="829"/>
      <c r="F22" s="180" t="s">
        <v>350</v>
      </c>
      <c r="G22" s="180" t="s">
        <v>351</v>
      </c>
      <c r="H22" s="180" t="s">
        <v>352</v>
      </c>
      <c r="I22" s="180" t="s">
        <v>353</v>
      </c>
      <c r="J22" s="180" t="s">
        <v>299</v>
      </c>
      <c r="K22" s="180" t="s">
        <v>300</v>
      </c>
      <c r="L22" s="333" t="s">
        <v>301</v>
      </c>
      <c r="M22" s="464"/>
      <c r="N22" s="465" t="s">
        <v>354</v>
      </c>
      <c r="O22" s="180" t="s">
        <v>355</v>
      </c>
      <c r="P22" s="180" t="s">
        <v>356</v>
      </c>
      <c r="Q22" s="180" t="s">
        <v>357</v>
      </c>
      <c r="R22" s="180" t="s">
        <v>358</v>
      </c>
      <c r="S22" s="180" t="s">
        <v>312</v>
      </c>
      <c r="T22" s="180" t="s">
        <v>313</v>
      </c>
      <c r="U22" s="180" t="s">
        <v>314</v>
      </c>
      <c r="V22" s="180" t="s">
        <v>315</v>
      </c>
      <c r="W22" s="180" t="s">
        <v>359</v>
      </c>
      <c r="X22" s="161" t="s">
        <v>360</v>
      </c>
    </row>
    <row r="23" spans="1:24" ht="24" customHeight="1">
      <c r="A23" s="644" t="s">
        <v>361</v>
      </c>
      <c r="B23" s="999" t="s">
        <v>362</v>
      </c>
      <c r="C23" s="1000"/>
      <c r="D23" s="1004">
        <f>SUM(F23:X23)</f>
        <v>100.00000000000001</v>
      </c>
      <c r="E23" s="1005"/>
      <c r="F23" s="645">
        <f>F24/$D$24*100</f>
        <v>7.5262327953744625</v>
      </c>
      <c r="G23" s="645">
        <f t="shared" ref="G23:L23" si="0">G24/$D$24*100</f>
        <v>6.943173632877139</v>
      </c>
      <c r="H23" s="645">
        <f t="shared" si="0"/>
        <v>6.839994549029532</v>
      </c>
      <c r="I23" s="645">
        <f t="shared" si="0"/>
        <v>6.9266260439581835</v>
      </c>
      <c r="J23" s="645">
        <f t="shared" si="0"/>
        <v>6.1985321315241304</v>
      </c>
      <c r="K23" s="645">
        <f t="shared" si="0"/>
        <v>8.5142211925944675</v>
      </c>
      <c r="L23" s="645">
        <f t="shared" si="0"/>
        <v>8.3331711020694232</v>
      </c>
      <c r="M23" s="92"/>
      <c r="N23" s="650">
        <f>N24/$D$24*100</f>
        <v>7.575875562131329</v>
      </c>
      <c r="O23" s="650">
        <f t="shared" ref="O23:X23" si="1">O24/$D$24*100</f>
        <v>6.8672494013666361</v>
      </c>
      <c r="P23" s="650">
        <f t="shared" si="1"/>
        <v>7.1514785757392882</v>
      </c>
      <c r="Q23" s="650">
        <f t="shared" si="1"/>
        <v>6.0067747775809375</v>
      </c>
      <c r="R23" s="650">
        <f t="shared" si="1"/>
        <v>4.4055522027761018</v>
      </c>
      <c r="S23" s="650">
        <f t="shared" si="1"/>
        <v>4.6128837580547826</v>
      </c>
      <c r="T23" s="650">
        <f t="shared" si="1"/>
        <v>3.7163937936807683</v>
      </c>
      <c r="U23" s="650">
        <f t="shared" si="1"/>
        <v>2.382852804329628</v>
      </c>
      <c r="V23" s="650">
        <f t="shared" si="1"/>
        <v>1.5136176922927171</v>
      </c>
      <c r="W23" s="650">
        <f t="shared" si="1"/>
        <v>2.040220374948897</v>
      </c>
      <c r="X23" s="332">
        <f t="shared" si="1"/>
        <v>2.4451496096715792</v>
      </c>
    </row>
    <row r="24" spans="1:24" s="388" customFormat="1" ht="24" customHeight="1">
      <c r="A24" s="644" t="s">
        <v>363</v>
      </c>
      <c r="B24" s="995" t="s">
        <v>364</v>
      </c>
      <c r="C24" s="996"/>
      <c r="D24" s="994">
        <f t="shared" ref="D24:D36" si="2">SUM(F24:X24)</f>
        <v>102734</v>
      </c>
      <c r="E24" s="997"/>
      <c r="F24" s="648">
        <f t="shared" ref="F24:L24" si="3">F25+F26</f>
        <v>7732</v>
      </c>
      <c r="G24" s="648">
        <f t="shared" si="3"/>
        <v>7133</v>
      </c>
      <c r="H24" s="648">
        <f t="shared" si="3"/>
        <v>7027</v>
      </c>
      <c r="I24" s="648">
        <f t="shared" si="3"/>
        <v>7116</v>
      </c>
      <c r="J24" s="648">
        <f t="shared" si="3"/>
        <v>6368</v>
      </c>
      <c r="K24" s="648">
        <f t="shared" si="3"/>
        <v>8747</v>
      </c>
      <c r="L24" s="648">
        <f t="shared" si="3"/>
        <v>8561</v>
      </c>
      <c r="M24" s="648"/>
      <c r="N24" s="648">
        <f t="shared" ref="N24:X24" si="4">N25+N26</f>
        <v>7783</v>
      </c>
      <c r="O24" s="648">
        <f t="shared" si="4"/>
        <v>7055</v>
      </c>
      <c r="P24" s="648">
        <f t="shared" si="4"/>
        <v>7347</v>
      </c>
      <c r="Q24" s="648">
        <f t="shared" si="4"/>
        <v>6171</v>
      </c>
      <c r="R24" s="648">
        <f t="shared" si="4"/>
        <v>4526</v>
      </c>
      <c r="S24" s="648">
        <f t="shared" si="4"/>
        <v>4739</v>
      </c>
      <c r="T24" s="648">
        <f t="shared" si="4"/>
        <v>3818</v>
      </c>
      <c r="U24" s="648">
        <f t="shared" si="4"/>
        <v>2448</v>
      </c>
      <c r="V24" s="648">
        <f t="shared" si="4"/>
        <v>1555</v>
      </c>
      <c r="W24" s="648">
        <f t="shared" si="4"/>
        <v>2096</v>
      </c>
      <c r="X24" s="164">
        <f t="shared" si="4"/>
        <v>2512</v>
      </c>
    </row>
    <row r="25" spans="1:24" ht="24" customHeight="1">
      <c r="A25" s="185" t="s">
        <v>684</v>
      </c>
      <c r="B25" s="979" t="s">
        <v>21</v>
      </c>
      <c r="C25" s="998"/>
      <c r="D25" s="988">
        <f t="shared" si="2"/>
        <v>50440</v>
      </c>
      <c r="E25" s="989"/>
      <c r="F25" s="647">
        <v>4013</v>
      </c>
      <c r="G25" s="647">
        <v>3646</v>
      </c>
      <c r="H25" s="647">
        <v>3627</v>
      </c>
      <c r="I25" s="647">
        <v>3646</v>
      </c>
      <c r="J25" s="647">
        <v>3060</v>
      </c>
      <c r="K25" s="647">
        <v>4182</v>
      </c>
      <c r="L25" s="647">
        <v>4124</v>
      </c>
      <c r="M25" s="647"/>
      <c r="N25" s="647">
        <v>3850</v>
      </c>
      <c r="O25" s="647">
        <v>3548</v>
      </c>
      <c r="P25" s="647">
        <v>3621</v>
      </c>
      <c r="Q25" s="647">
        <v>3094</v>
      </c>
      <c r="R25" s="647">
        <v>2210</v>
      </c>
      <c r="S25" s="647">
        <v>2325</v>
      </c>
      <c r="T25" s="647">
        <v>1868</v>
      </c>
      <c r="U25" s="647">
        <v>1096</v>
      </c>
      <c r="V25" s="647">
        <v>611</v>
      </c>
      <c r="W25" s="647">
        <v>590</v>
      </c>
      <c r="X25" s="155">
        <v>1329</v>
      </c>
    </row>
    <row r="26" spans="1:24" ht="24" customHeight="1">
      <c r="A26" s="649" t="s">
        <v>365</v>
      </c>
      <c r="B26" s="984" t="s">
        <v>22</v>
      </c>
      <c r="C26" s="985"/>
      <c r="D26" s="988">
        <f t="shared" si="2"/>
        <v>52294</v>
      </c>
      <c r="E26" s="989"/>
      <c r="F26" s="647">
        <v>3719</v>
      </c>
      <c r="G26" s="647">
        <v>3487</v>
      </c>
      <c r="H26" s="647">
        <v>3400</v>
      </c>
      <c r="I26" s="647">
        <v>3470</v>
      </c>
      <c r="J26" s="647">
        <v>3308</v>
      </c>
      <c r="K26" s="647">
        <v>4565</v>
      </c>
      <c r="L26" s="647">
        <v>4437</v>
      </c>
      <c r="M26" s="647"/>
      <c r="N26" s="647">
        <v>3933</v>
      </c>
      <c r="O26" s="647">
        <v>3507</v>
      </c>
      <c r="P26" s="647">
        <v>3726</v>
      </c>
      <c r="Q26" s="647">
        <v>3077</v>
      </c>
      <c r="R26" s="647">
        <v>2316</v>
      </c>
      <c r="S26" s="647">
        <v>2414</v>
      </c>
      <c r="T26" s="647">
        <v>1950</v>
      </c>
      <c r="U26" s="647">
        <v>1352</v>
      </c>
      <c r="V26" s="647">
        <v>944</v>
      </c>
      <c r="W26" s="647">
        <v>1506</v>
      </c>
      <c r="X26" s="155">
        <v>1183</v>
      </c>
    </row>
    <row r="27" spans="1:24" ht="24" customHeight="1">
      <c r="A27" s="644" t="s">
        <v>361</v>
      </c>
      <c r="B27" s="999" t="s">
        <v>362</v>
      </c>
      <c r="C27" s="1000"/>
      <c r="D27" s="992">
        <f t="shared" si="2"/>
        <v>100.00000000000001</v>
      </c>
      <c r="E27" s="1001"/>
      <c r="F27" s="645">
        <f>F28/$D$28*100</f>
        <v>6.9090703354109895</v>
      </c>
      <c r="G27" s="645">
        <f t="shared" ref="G27:L27" si="5">G28/$D$28*100</f>
        <v>6.8770096842025854</v>
      </c>
      <c r="H27" s="645">
        <f t="shared" si="5"/>
        <v>6.5139699572838969</v>
      </c>
      <c r="I27" s="645">
        <f t="shared" si="5"/>
        <v>6.4121302416807326</v>
      </c>
      <c r="J27" s="645">
        <f t="shared" si="5"/>
        <v>6.0868089279484012</v>
      </c>
      <c r="K27" s="645">
        <f t="shared" si="5"/>
        <v>7.2598515780441115</v>
      </c>
      <c r="L27" s="645">
        <f t="shared" si="5"/>
        <v>8.9562372111005288</v>
      </c>
      <c r="M27" s="92"/>
      <c r="N27" s="645">
        <f>N28/$D$28*100</f>
        <v>7.9189808484757043</v>
      </c>
      <c r="O27" s="645">
        <f t="shared" ref="O27:X27" si="6">O28/$D$28*100</f>
        <v>7.0976624013427765</v>
      </c>
      <c r="P27" s="645">
        <f t="shared" si="6"/>
        <v>6.5601750134371848</v>
      </c>
      <c r="Q27" s="645">
        <f t="shared" si="6"/>
        <v>6.9062414544220125</v>
      </c>
      <c r="R27" s="645">
        <f t="shared" si="6"/>
        <v>5.7869475431168613</v>
      </c>
      <c r="S27" s="645">
        <f t="shared" si="6"/>
        <v>4.2885835792888187</v>
      </c>
      <c r="T27" s="645">
        <f t="shared" si="6"/>
        <v>4.3762788899471001</v>
      </c>
      <c r="U27" s="645">
        <f t="shared" si="6"/>
        <v>3.3776839008382917</v>
      </c>
      <c r="V27" s="645">
        <f t="shared" si="6"/>
        <v>2.1131740987656649</v>
      </c>
      <c r="W27" s="645">
        <f t="shared" si="6"/>
        <v>2.5507076917274092</v>
      </c>
      <c r="X27" s="646">
        <f t="shared" si="6"/>
        <v>8.4866429669303804E-3</v>
      </c>
    </row>
    <row r="28" spans="1:24" s="388" customFormat="1" ht="24" customHeight="1">
      <c r="A28" s="644" t="s">
        <v>363</v>
      </c>
      <c r="B28" s="995" t="s">
        <v>364</v>
      </c>
      <c r="C28" s="996"/>
      <c r="D28" s="994">
        <f t="shared" si="2"/>
        <v>106049</v>
      </c>
      <c r="E28" s="997"/>
      <c r="F28" s="648">
        <f t="shared" ref="F28:L28" si="7">F29+F30</f>
        <v>7327</v>
      </c>
      <c r="G28" s="648">
        <f t="shared" si="7"/>
        <v>7293</v>
      </c>
      <c r="H28" s="648">
        <f t="shared" si="7"/>
        <v>6908</v>
      </c>
      <c r="I28" s="648">
        <f t="shared" si="7"/>
        <v>6800</v>
      </c>
      <c r="J28" s="648">
        <f t="shared" si="7"/>
        <v>6455</v>
      </c>
      <c r="K28" s="648">
        <f t="shared" si="7"/>
        <v>7699</v>
      </c>
      <c r="L28" s="648">
        <f t="shared" si="7"/>
        <v>9498</v>
      </c>
      <c r="M28" s="648"/>
      <c r="N28" s="648">
        <f t="shared" ref="N28:X28" si="8">N29+N30</f>
        <v>8398</v>
      </c>
      <c r="O28" s="648">
        <f t="shared" si="8"/>
        <v>7527</v>
      </c>
      <c r="P28" s="648">
        <f t="shared" si="8"/>
        <v>6957</v>
      </c>
      <c r="Q28" s="648">
        <f t="shared" si="8"/>
        <v>7324</v>
      </c>
      <c r="R28" s="648">
        <f t="shared" si="8"/>
        <v>6137</v>
      </c>
      <c r="S28" s="648">
        <f t="shared" si="8"/>
        <v>4548</v>
      </c>
      <c r="T28" s="648">
        <f t="shared" si="8"/>
        <v>4641</v>
      </c>
      <c r="U28" s="648">
        <f t="shared" si="8"/>
        <v>3582</v>
      </c>
      <c r="V28" s="648">
        <f t="shared" si="8"/>
        <v>2241</v>
      </c>
      <c r="W28" s="648">
        <f t="shared" si="8"/>
        <v>2705</v>
      </c>
      <c r="X28" s="164">
        <f t="shared" si="8"/>
        <v>9</v>
      </c>
    </row>
    <row r="29" spans="1:24" ht="24" customHeight="1">
      <c r="A29" s="644">
        <v>17</v>
      </c>
      <c r="B29" s="979" t="s">
        <v>21</v>
      </c>
      <c r="C29" s="998"/>
      <c r="D29" s="988">
        <f t="shared" si="2"/>
        <v>52128</v>
      </c>
      <c r="E29" s="989"/>
      <c r="F29" s="647">
        <v>3811</v>
      </c>
      <c r="G29" s="647">
        <v>3814</v>
      </c>
      <c r="H29" s="647">
        <v>3583</v>
      </c>
      <c r="I29" s="647">
        <v>3479</v>
      </c>
      <c r="J29" s="647">
        <v>3196</v>
      </c>
      <c r="K29" s="647">
        <v>3739</v>
      </c>
      <c r="L29" s="647">
        <v>4660</v>
      </c>
      <c r="M29" s="647"/>
      <c r="N29" s="647">
        <v>4053</v>
      </c>
      <c r="O29" s="647">
        <v>3688</v>
      </c>
      <c r="P29" s="647">
        <v>3527</v>
      </c>
      <c r="Q29" s="647">
        <v>3596</v>
      </c>
      <c r="R29" s="647">
        <v>3086</v>
      </c>
      <c r="S29" s="647">
        <v>2202</v>
      </c>
      <c r="T29" s="647">
        <v>2241</v>
      </c>
      <c r="U29" s="647">
        <v>1692</v>
      </c>
      <c r="V29" s="647">
        <v>951</v>
      </c>
      <c r="W29" s="647">
        <v>805</v>
      </c>
      <c r="X29" s="155">
        <v>5</v>
      </c>
    </row>
    <row r="30" spans="1:24" ht="24" customHeight="1">
      <c r="A30" s="649" t="s">
        <v>365</v>
      </c>
      <c r="B30" s="984" t="s">
        <v>22</v>
      </c>
      <c r="C30" s="985"/>
      <c r="D30" s="988">
        <f t="shared" si="2"/>
        <v>53921</v>
      </c>
      <c r="E30" s="989"/>
      <c r="F30" s="647">
        <v>3516</v>
      </c>
      <c r="G30" s="647">
        <v>3479</v>
      </c>
      <c r="H30" s="647">
        <v>3325</v>
      </c>
      <c r="I30" s="647">
        <v>3321</v>
      </c>
      <c r="J30" s="647">
        <v>3259</v>
      </c>
      <c r="K30" s="647">
        <v>3960</v>
      </c>
      <c r="L30" s="647">
        <v>4838</v>
      </c>
      <c r="M30" s="647"/>
      <c r="N30" s="647">
        <v>4345</v>
      </c>
      <c r="O30" s="647">
        <v>3839</v>
      </c>
      <c r="P30" s="647">
        <v>3430</v>
      </c>
      <c r="Q30" s="647">
        <v>3728</v>
      </c>
      <c r="R30" s="647">
        <v>3051</v>
      </c>
      <c r="S30" s="647">
        <v>2346</v>
      </c>
      <c r="T30" s="647">
        <v>2400</v>
      </c>
      <c r="U30" s="647">
        <v>1890</v>
      </c>
      <c r="V30" s="647">
        <v>1290</v>
      </c>
      <c r="W30" s="647">
        <v>1900</v>
      </c>
      <c r="X30" s="155">
        <v>4</v>
      </c>
    </row>
    <row r="31" spans="1:24" ht="24" customHeight="1">
      <c r="A31" s="644" t="s">
        <v>361</v>
      </c>
      <c r="B31" s="999" t="s">
        <v>362</v>
      </c>
      <c r="C31" s="1000"/>
      <c r="D31" s="992">
        <f>SUM(F31:X31)</f>
        <v>100.00000000000001</v>
      </c>
      <c r="E31" s="1001"/>
      <c r="F31" s="645">
        <f>F32/$D$32*100</f>
        <v>6.5074172413480627</v>
      </c>
      <c r="G31" s="645">
        <f t="shared" ref="G31:L31" si="9">G32/$D$32*100</f>
        <v>6.3424889670234075</v>
      </c>
      <c r="H31" s="645">
        <f t="shared" si="9"/>
        <v>6.4195159083288784</v>
      </c>
      <c r="I31" s="645">
        <f t="shared" si="9"/>
        <v>6.0579423838479034</v>
      </c>
      <c r="J31" s="645">
        <f t="shared" si="9"/>
        <v>5.3375139328143835</v>
      </c>
      <c r="K31" s="645">
        <f t="shared" si="9"/>
        <v>6.5916937771293416</v>
      </c>
      <c r="L31" s="645">
        <f t="shared" si="9"/>
        <v>7.2785928537122455</v>
      </c>
      <c r="M31" s="92"/>
      <c r="N31" s="645">
        <f>N32/$D$32*100</f>
        <v>8.5137425125282054</v>
      </c>
      <c r="O31" s="645">
        <f t="shared" ref="O31:X31" si="10">O32/$D$32*100</f>
        <v>7.3746499805167147</v>
      </c>
      <c r="P31" s="645">
        <f t="shared" si="10"/>
        <v>6.6052867667714841</v>
      </c>
      <c r="Q31" s="645">
        <f t="shared" si="10"/>
        <v>6.2038404726735603</v>
      </c>
      <c r="R31" s="645">
        <f t="shared" si="10"/>
        <v>6.4467018876131617</v>
      </c>
      <c r="S31" s="645">
        <f t="shared" si="10"/>
        <v>5.4589446402841846</v>
      </c>
      <c r="T31" s="645">
        <f t="shared" si="10"/>
        <v>3.9555599858632906</v>
      </c>
      <c r="U31" s="645">
        <f t="shared" si="10"/>
        <v>4.019900136836096</v>
      </c>
      <c r="V31" s="645">
        <f t="shared" si="10"/>
        <v>2.9732399343911702</v>
      </c>
      <c r="W31" s="645">
        <f t="shared" si="10"/>
        <v>3.4109342008681391</v>
      </c>
      <c r="X31" s="646">
        <f t="shared" si="10"/>
        <v>0.50203441744977384</v>
      </c>
    </row>
    <row r="32" spans="1:24" s="388" customFormat="1" ht="24" customHeight="1">
      <c r="A32" s="644" t="s">
        <v>363</v>
      </c>
      <c r="B32" s="995" t="s">
        <v>364</v>
      </c>
      <c r="C32" s="996"/>
      <c r="D32" s="994">
        <f t="shared" si="2"/>
        <v>110351</v>
      </c>
      <c r="E32" s="997"/>
      <c r="F32" s="648">
        <f t="shared" ref="F32:L32" si="11">F33+F34</f>
        <v>7181</v>
      </c>
      <c r="G32" s="648">
        <f t="shared" si="11"/>
        <v>6999</v>
      </c>
      <c r="H32" s="648">
        <f t="shared" si="11"/>
        <v>7084</v>
      </c>
      <c r="I32" s="648">
        <f t="shared" si="11"/>
        <v>6685</v>
      </c>
      <c r="J32" s="648">
        <f t="shared" si="11"/>
        <v>5890</v>
      </c>
      <c r="K32" s="648">
        <f t="shared" si="11"/>
        <v>7274</v>
      </c>
      <c r="L32" s="648">
        <f t="shared" si="11"/>
        <v>8032</v>
      </c>
      <c r="M32" s="648"/>
      <c r="N32" s="648">
        <f t="shared" ref="N32:X32" si="12">N33+N34</f>
        <v>9395</v>
      </c>
      <c r="O32" s="648">
        <f t="shared" si="12"/>
        <v>8138</v>
      </c>
      <c r="P32" s="648">
        <f t="shared" si="12"/>
        <v>7289</v>
      </c>
      <c r="Q32" s="648">
        <f t="shared" si="12"/>
        <v>6846</v>
      </c>
      <c r="R32" s="648">
        <f t="shared" si="12"/>
        <v>7114</v>
      </c>
      <c r="S32" s="648">
        <f t="shared" si="12"/>
        <v>6024</v>
      </c>
      <c r="T32" s="648">
        <f t="shared" si="12"/>
        <v>4365</v>
      </c>
      <c r="U32" s="648">
        <f t="shared" si="12"/>
        <v>4436</v>
      </c>
      <c r="V32" s="648">
        <f t="shared" si="12"/>
        <v>3281</v>
      </c>
      <c r="W32" s="648">
        <f t="shared" si="12"/>
        <v>3764</v>
      </c>
      <c r="X32" s="164">
        <f t="shared" si="12"/>
        <v>554</v>
      </c>
    </row>
    <row r="33" spans="1:24" ht="24" customHeight="1">
      <c r="A33" s="644">
        <v>22</v>
      </c>
      <c r="B33" s="979" t="s">
        <v>21</v>
      </c>
      <c r="C33" s="998"/>
      <c r="D33" s="988">
        <f t="shared" si="2"/>
        <v>53948</v>
      </c>
      <c r="E33" s="989"/>
      <c r="F33" s="647">
        <v>3678</v>
      </c>
      <c r="G33" s="647">
        <v>3637</v>
      </c>
      <c r="H33" s="647">
        <v>3647</v>
      </c>
      <c r="I33" s="647">
        <v>3405</v>
      </c>
      <c r="J33" s="647">
        <v>2967</v>
      </c>
      <c r="K33" s="647">
        <v>3500</v>
      </c>
      <c r="L33" s="647">
        <v>3893</v>
      </c>
      <c r="M33" s="647"/>
      <c r="N33" s="647">
        <v>4653</v>
      </c>
      <c r="O33" s="647">
        <v>3925</v>
      </c>
      <c r="P33" s="647">
        <v>3525</v>
      </c>
      <c r="Q33" s="647">
        <v>3420</v>
      </c>
      <c r="R33" s="647">
        <v>3427</v>
      </c>
      <c r="S33" s="647">
        <v>3017</v>
      </c>
      <c r="T33" s="647">
        <v>2094</v>
      </c>
      <c r="U33" s="647">
        <v>2100</v>
      </c>
      <c r="V33" s="647">
        <v>1477</v>
      </c>
      <c r="W33" s="647">
        <v>1239</v>
      </c>
      <c r="X33" s="155">
        <v>344</v>
      </c>
    </row>
    <row r="34" spans="1:24" ht="24" customHeight="1">
      <c r="A34" s="644" t="s">
        <v>365</v>
      </c>
      <c r="B34" s="984" t="s">
        <v>22</v>
      </c>
      <c r="C34" s="985"/>
      <c r="D34" s="988">
        <f t="shared" si="2"/>
        <v>56403</v>
      </c>
      <c r="E34" s="989"/>
      <c r="F34" s="647">
        <v>3503</v>
      </c>
      <c r="G34" s="647">
        <v>3362</v>
      </c>
      <c r="H34" s="647">
        <v>3437</v>
      </c>
      <c r="I34" s="647">
        <v>3280</v>
      </c>
      <c r="J34" s="647">
        <v>2923</v>
      </c>
      <c r="K34" s="647">
        <v>3774</v>
      </c>
      <c r="L34" s="647">
        <v>4139</v>
      </c>
      <c r="M34" s="647"/>
      <c r="N34" s="647">
        <v>4742</v>
      </c>
      <c r="O34" s="647">
        <v>4213</v>
      </c>
      <c r="P34" s="647">
        <v>3764</v>
      </c>
      <c r="Q34" s="647">
        <v>3426</v>
      </c>
      <c r="R34" s="647">
        <v>3687</v>
      </c>
      <c r="S34" s="647">
        <v>3007</v>
      </c>
      <c r="T34" s="647">
        <v>2271</v>
      </c>
      <c r="U34" s="647">
        <v>2336</v>
      </c>
      <c r="V34" s="647">
        <v>1804</v>
      </c>
      <c r="W34" s="647">
        <v>2525</v>
      </c>
      <c r="X34" s="316">
        <v>210</v>
      </c>
    </row>
    <row r="35" spans="1:24" ht="24" customHeight="1">
      <c r="A35" s="174" t="s">
        <v>361</v>
      </c>
      <c r="B35" s="991" t="s">
        <v>362</v>
      </c>
      <c r="C35" s="991"/>
      <c r="D35" s="992">
        <f>SUM(F35:X35)</f>
        <v>100</v>
      </c>
      <c r="E35" s="992"/>
      <c r="F35" s="304">
        <f>F36/$D$36*100</f>
        <v>6.0429651936410114</v>
      </c>
      <c r="G35" s="304">
        <f t="shared" ref="G35:L35" si="13">G36/$D$36*100</f>
        <v>6.1331325723089849</v>
      </c>
      <c r="H35" s="304">
        <f t="shared" si="13"/>
        <v>6.1287555150920934</v>
      </c>
      <c r="I35" s="304">
        <f t="shared" si="13"/>
        <v>6.04384060508439</v>
      </c>
      <c r="J35" s="304">
        <f t="shared" si="13"/>
        <v>5.1097765949996505</v>
      </c>
      <c r="K35" s="304">
        <f t="shared" si="13"/>
        <v>5.6569087471111423</v>
      </c>
      <c r="L35" s="304">
        <f t="shared" si="13"/>
        <v>6.4736676237831778</v>
      </c>
      <c r="M35" s="92">
        <f>M36/$D$36</f>
        <v>0</v>
      </c>
      <c r="N35" s="304">
        <f>N36/$D$36*100</f>
        <v>6.9603963863015625</v>
      </c>
      <c r="O35" s="304">
        <f t="shared" ref="O35:X35" si="14">O36/$D$36*100</f>
        <v>8.0765459766090064</v>
      </c>
      <c r="P35" s="304">
        <f t="shared" si="14"/>
        <v>6.9989144898102111</v>
      </c>
      <c r="Q35" s="304">
        <f t="shared" si="14"/>
        <v>6.307339449541284</v>
      </c>
      <c r="R35" s="304">
        <f t="shared" si="14"/>
        <v>5.8004762238251972</v>
      </c>
      <c r="S35" s="304">
        <f t="shared" si="14"/>
        <v>6.1497653897331741</v>
      </c>
      <c r="T35" s="304">
        <f t="shared" si="14"/>
        <v>5.1325372925274877</v>
      </c>
      <c r="U35" s="304">
        <f t="shared" si="14"/>
        <v>3.6741018278590936</v>
      </c>
      <c r="V35" s="304">
        <f t="shared" si="14"/>
        <v>3.5909377407381466</v>
      </c>
      <c r="W35" s="304">
        <f t="shared" si="14"/>
        <v>4.6519364101127527</v>
      </c>
      <c r="X35" s="285">
        <f t="shared" si="14"/>
        <v>1.0680019609216331</v>
      </c>
    </row>
    <row r="36" spans="1:24" ht="24" customHeight="1">
      <c r="A36" s="143" t="s">
        <v>363</v>
      </c>
      <c r="B36" s="993" t="s">
        <v>364</v>
      </c>
      <c r="C36" s="993"/>
      <c r="D36" s="994">
        <f t="shared" si="2"/>
        <v>114232</v>
      </c>
      <c r="E36" s="994"/>
      <c r="F36" s="93">
        <f t="shared" ref="F36:L36" si="15">SUM(F37:F38)</f>
        <v>6903</v>
      </c>
      <c r="G36" s="58">
        <f t="shared" si="15"/>
        <v>7006</v>
      </c>
      <c r="H36" s="58">
        <f t="shared" si="15"/>
        <v>7001</v>
      </c>
      <c r="I36" s="58">
        <f t="shared" si="15"/>
        <v>6904</v>
      </c>
      <c r="J36" s="58">
        <f t="shared" si="15"/>
        <v>5837</v>
      </c>
      <c r="K36" s="58">
        <f t="shared" si="15"/>
        <v>6462</v>
      </c>
      <c r="L36" s="58">
        <f t="shared" si="15"/>
        <v>7395</v>
      </c>
      <c r="M36" s="58"/>
      <c r="N36" s="58">
        <f t="shared" ref="N36:X36" si="16">SUM(N37:N38)</f>
        <v>7951</v>
      </c>
      <c r="O36" s="58">
        <f t="shared" si="16"/>
        <v>9226</v>
      </c>
      <c r="P36" s="58">
        <f t="shared" si="16"/>
        <v>7995</v>
      </c>
      <c r="Q36" s="58">
        <f t="shared" si="16"/>
        <v>7205</v>
      </c>
      <c r="R36" s="58">
        <f t="shared" si="16"/>
        <v>6626</v>
      </c>
      <c r="S36" s="58">
        <f t="shared" si="16"/>
        <v>7025</v>
      </c>
      <c r="T36" s="58">
        <f t="shared" si="16"/>
        <v>5863</v>
      </c>
      <c r="U36" s="58">
        <f t="shared" si="16"/>
        <v>4197</v>
      </c>
      <c r="V36" s="58">
        <f t="shared" si="16"/>
        <v>4102</v>
      </c>
      <c r="W36" s="58">
        <f t="shared" si="16"/>
        <v>5314</v>
      </c>
      <c r="X36" s="164">
        <f t="shared" si="16"/>
        <v>1220</v>
      </c>
    </row>
    <row r="37" spans="1:24" ht="24" customHeight="1">
      <c r="A37" s="185" t="s">
        <v>685</v>
      </c>
      <c r="B37" s="973" t="s">
        <v>21</v>
      </c>
      <c r="C37" s="973"/>
      <c r="D37" s="988">
        <v>55471</v>
      </c>
      <c r="E37" s="988"/>
      <c r="F37" s="2">
        <v>3447</v>
      </c>
      <c r="G37" s="2">
        <v>3572</v>
      </c>
      <c r="H37" s="2">
        <v>3623</v>
      </c>
      <c r="I37" s="2">
        <v>3504</v>
      </c>
      <c r="J37" s="2">
        <v>2909</v>
      </c>
      <c r="K37" s="2">
        <v>3200</v>
      </c>
      <c r="L37" s="2">
        <v>3568</v>
      </c>
      <c r="M37" s="2"/>
      <c r="N37" s="2">
        <v>3836</v>
      </c>
      <c r="O37" s="2">
        <v>4533</v>
      </c>
      <c r="P37" s="2">
        <v>3878</v>
      </c>
      <c r="Q37" s="2">
        <v>3463</v>
      </c>
      <c r="R37" s="2">
        <v>3288</v>
      </c>
      <c r="S37" s="2">
        <v>3374</v>
      </c>
      <c r="T37" s="2">
        <v>2883</v>
      </c>
      <c r="U37" s="2">
        <v>1973</v>
      </c>
      <c r="V37" s="2">
        <v>1881</v>
      </c>
      <c r="W37" s="2">
        <v>1912</v>
      </c>
      <c r="X37" s="155">
        <v>627</v>
      </c>
    </row>
    <row r="38" spans="1:24" ht="24" customHeight="1" thickBot="1">
      <c r="A38" s="196" t="s">
        <v>365</v>
      </c>
      <c r="B38" s="970" t="s">
        <v>22</v>
      </c>
      <c r="C38" s="970"/>
      <c r="D38" s="990">
        <v>58761</v>
      </c>
      <c r="E38" s="990"/>
      <c r="F38" s="145">
        <v>3456</v>
      </c>
      <c r="G38" s="145">
        <v>3434</v>
      </c>
      <c r="H38" s="145">
        <v>3378</v>
      </c>
      <c r="I38" s="145">
        <v>3400</v>
      </c>
      <c r="J38" s="145">
        <v>2928</v>
      </c>
      <c r="K38" s="145">
        <v>3262</v>
      </c>
      <c r="L38" s="145">
        <v>3827</v>
      </c>
      <c r="M38" s="145"/>
      <c r="N38" s="145">
        <v>4115</v>
      </c>
      <c r="O38" s="145">
        <v>4693</v>
      </c>
      <c r="P38" s="145">
        <v>4117</v>
      </c>
      <c r="Q38" s="145">
        <v>3742</v>
      </c>
      <c r="R38" s="145">
        <v>3338</v>
      </c>
      <c r="S38" s="145">
        <v>3651</v>
      </c>
      <c r="T38" s="145">
        <v>2980</v>
      </c>
      <c r="U38" s="145">
        <v>2224</v>
      </c>
      <c r="V38" s="145">
        <v>2221</v>
      </c>
      <c r="W38" s="145">
        <v>3402</v>
      </c>
      <c r="X38" s="197">
        <v>593</v>
      </c>
    </row>
    <row r="39" spans="1:24" ht="16.5" customHeight="1">
      <c r="W39" s="386"/>
      <c r="X39" s="387" t="s">
        <v>679</v>
      </c>
    </row>
  </sheetData>
  <sheetProtection selectLockedCells="1" selectUnlockedCells="1"/>
  <mergeCells count="90">
    <mergeCell ref="Q8:R8"/>
    <mergeCell ref="S8:T8"/>
    <mergeCell ref="S9:T9"/>
    <mergeCell ref="Q9:R9"/>
    <mergeCell ref="N9:P9"/>
    <mergeCell ref="N4:X4"/>
    <mergeCell ref="N1:X1"/>
    <mergeCell ref="U7:V7"/>
    <mergeCell ref="W7:X7"/>
    <mergeCell ref="N7:P7"/>
    <mergeCell ref="Q7:R7"/>
    <mergeCell ref="S7:T7"/>
    <mergeCell ref="U8:V8"/>
    <mergeCell ref="W11:X11"/>
    <mergeCell ref="U11:V11"/>
    <mergeCell ref="J10:K10"/>
    <mergeCell ref="N10:P10"/>
    <mergeCell ref="S11:T11"/>
    <mergeCell ref="U10:V10"/>
    <mergeCell ref="Q10:R10"/>
    <mergeCell ref="S10:T10"/>
    <mergeCell ref="W10:X10"/>
    <mergeCell ref="Q11:R11"/>
    <mergeCell ref="W9:X9"/>
    <mergeCell ref="W8:X8"/>
    <mergeCell ref="N8:P8"/>
    <mergeCell ref="U9:V9"/>
    <mergeCell ref="J9:K9"/>
    <mergeCell ref="G9:H9"/>
    <mergeCell ref="J8:L8"/>
    <mergeCell ref="C8:F8"/>
    <mergeCell ref="A10:B10"/>
    <mergeCell ref="G10:H10"/>
    <mergeCell ref="C10:E10"/>
    <mergeCell ref="A7:B9"/>
    <mergeCell ref="J7:L7"/>
    <mergeCell ref="C9:E9"/>
    <mergeCell ref="C7:F7"/>
    <mergeCell ref="G7:I7"/>
    <mergeCell ref="G8:I8"/>
    <mergeCell ref="P13:Q13"/>
    <mergeCell ref="C14:E14"/>
    <mergeCell ref="G14:H14"/>
    <mergeCell ref="J14:K14"/>
    <mergeCell ref="A14:B14"/>
    <mergeCell ref="A12:B12"/>
    <mergeCell ref="C12:E12"/>
    <mergeCell ref="J12:K12"/>
    <mergeCell ref="N11:P11"/>
    <mergeCell ref="G12:H12"/>
    <mergeCell ref="U19:V19"/>
    <mergeCell ref="D22:E22"/>
    <mergeCell ref="B23:C23"/>
    <mergeCell ref="D23:E23"/>
    <mergeCell ref="A16:B16"/>
    <mergeCell ref="C16:E16"/>
    <mergeCell ref="G16:H16"/>
    <mergeCell ref="J16:K16"/>
    <mergeCell ref="B27:C27"/>
    <mergeCell ref="D27:E27"/>
    <mergeCell ref="B25:C25"/>
    <mergeCell ref="D25:E25"/>
    <mergeCell ref="P15:Q15"/>
    <mergeCell ref="B24:C24"/>
    <mergeCell ref="D24:E24"/>
    <mergeCell ref="B26:C26"/>
    <mergeCell ref="D26:E26"/>
    <mergeCell ref="D30:E30"/>
    <mergeCell ref="B33:C33"/>
    <mergeCell ref="D33:E33"/>
    <mergeCell ref="B29:C29"/>
    <mergeCell ref="D29:E29"/>
    <mergeCell ref="B31:C31"/>
    <mergeCell ref="D31:E31"/>
    <mergeCell ref="A4:L5"/>
    <mergeCell ref="B34:C34"/>
    <mergeCell ref="D34:E34"/>
    <mergeCell ref="B38:C38"/>
    <mergeCell ref="D38:E38"/>
    <mergeCell ref="B35:C35"/>
    <mergeCell ref="D35:E35"/>
    <mergeCell ref="B36:C36"/>
    <mergeCell ref="D36:E36"/>
    <mergeCell ref="B37:C37"/>
    <mergeCell ref="D37:E37"/>
    <mergeCell ref="B28:C28"/>
    <mergeCell ref="D28:E28"/>
    <mergeCell ref="B32:C32"/>
    <mergeCell ref="D32:E32"/>
    <mergeCell ref="B30:C30"/>
  </mergeCells>
  <phoneticPr fontId="19"/>
  <printOptions horizontalCentered="1"/>
  <pageMargins left="0.59055118110236227" right="0.59055118110236227" top="0.59055118110236227" bottom="0.59055118110236227" header="0.39370078740157483" footer="0.39370078740157483"/>
  <pageSetup paperSize="9" firstPageNumber="0" orientation="portrait" r:id="rId1"/>
  <headerFooter scaleWithDoc="0" alignWithMargins="0">
    <oddHeader>&amp;L&amp;"ＭＳ 明朝,標準"&amp;10人　口</oddHeader>
    <oddFooter>&amp;C&amp;"ＭＳ 明朝,標準"&amp;12&amp;A</oddFooter>
  </headerFooter>
  <colBreaks count="1" manualBreakCount="1">
    <brk id="13"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view="pageBreakPreview" zoomScale="90" zoomScaleNormal="90" zoomScaleSheetLayoutView="90" workbookViewId="0">
      <selection activeCell="I243" sqref="I243"/>
    </sheetView>
  </sheetViews>
  <sheetFormatPr defaultRowHeight="16.5" customHeight="1"/>
  <cols>
    <col min="1" max="1" width="3.125" style="6" customWidth="1"/>
    <col min="2" max="2" width="8.375" style="6" customWidth="1"/>
    <col min="3" max="3" width="7.625" style="6" customWidth="1"/>
    <col min="4" max="4" width="1.25" style="6" customWidth="1"/>
    <col min="5" max="5" width="8.375" style="6" customWidth="1"/>
    <col min="6" max="6" width="10" style="6" customWidth="1"/>
    <col min="7" max="12" width="8.375" style="6" customWidth="1"/>
    <col min="13" max="13" width="0.875" style="6" customWidth="1"/>
    <col min="14" max="24" width="8.25" style="6" customWidth="1"/>
    <col min="25" max="16384" width="9" style="6"/>
  </cols>
  <sheetData>
    <row r="1" spans="1:24" ht="5.0999999999999996" customHeight="1">
      <c r="A1" s="48"/>
      <c r="B1" s="5"/>
      <c r="C1" s="5"/>
      <c r="D1" s="5"/>
      <c r="N1" s="957"/>
      <c r="O1" s="957"/>
      <c r="P1" s="957"/>
      <c r="Q1" s="957"/>
      <c r="R1" s="957"/>
      <c r="S1" s="957"/>
      <c r="T1" s="957"/>
      <c r="U1" s="957"/>
      <c r="V1" s="957"/>
      <c r="W1" s="957"/>
      <c r="X1" s="957"/>
    </row>
    <row r="2" spans="1:24" ht="15" customHeight="1">
      <c r="A2" s="48" t="s">
        <v>319</v>
      </c>
      <c r="B2" s="5"/>
      <c r="C2" s="5"/>
      <c r="D2" s="5"/>
      <c r="N2" s="655"/>
      <c r="O2" s="655"/>
      <c r="P2" s="655"/>
      <c r="Q2" s="655"/>
      <c r="R2" s="655"/>
      <c r="S2" s="655"/>
      <c r="T2" s="655"/>
      <c r="U2" s="655"/>
      <c r="V2" s="655"/>
      <c r="W2" s="655"/>
      <c r="X2" s="655"/>
    </row>
    <row r="3" spans="1:24" ht="5.0999999999999996" customHeight="1">
      <c r="A3" s="48"/>
      <c r="B3" s="5"/>
      <c r="C3" s="5"/>
      <c r="D3" s="5"/>
      <c r="N3" s="655"/>
      <c r="O3" s="655"/>
      <c r="P3" s="655"/>
      <c r="Q3" s="655"/>
      <c r="R3" s="655"/>
      <c r="S3" s="655"/>
      <c r="T3" s="655"/>
      <c r="U3" s="655"/>
      <c r="V3" s="655"/>
      <c r="W3" s="655"/>
      <c r="X3" s="655"/>
    </row>
    <row r="4" spans="1:24" s="80" customFormat="1" ht="60" customHeight="1">
      <c r="A4" s="987" t="s">
        <v>716</v>
      </c>
      <c r="B4" s="987"/>
      <c r="C4" s="987"/>
      <c r="D4" s="987"/>
      <c r="E4" s="987"/>
      <c r="F4" s="987"/>
      <c r="G4" s="987"/>
      <c r="H4" s="987"/>
      <c r="I4" s="987"/>
      <c r="J4" s="987"/>
      <c r="K4" s="987"/>
      <c r="L4" s="987"/>
      <c r="M4" s="82"/>
      <c r="N4" s="955" t="s">
        <v>690</v>
      </c>
      <c r="O4" s="955"/>
      <c r="P4" s="955"/>
      <c r="Q4" s="955"/>
      <c r="R4" s="955"/>
      <c r="S4" s="955"/>
      <c r="T4" s="955"/>
      <c r="U4" s="955"/>
      <c r="V4" s="955"/>
      <c r="W4" s="955"/>
      <c r="X4" s="955"/>
    </row>
    <row r="5" spans="1:24" ht="12" customHeight="1">
      <c r="A5" s="987"/>
      <c r="B5" s="987"/>
      <c r="C5" s="987"/>
      <c r="D5" s="987"/>
      <c r="E5" s="987"/>
      <c r="F5" s="987"/>
      <c r="G5" s="987"/>
      <c r="H5" s="987"/>
      <c r="I5" s="987"/>
      <c r="J5" s="987"/>
      <c r="K5" s="987"/>
      <c r="L5" s="987"/>
      <c r="N5" s="5" t="s">
        <v>30</v>
      </c>
    </row>
    <row r="6" spans="1:24" ht="15" customHeight="1" thickBot="1">
      <c r="A6" s="14" t="s">
        <v>320</v>
      </c>
      <c r="L6" s="7" t="s">
        <v>28</v>
      </c>
      <c r="N6" s="5" t="s">
        <v>321</v>
      </c>
      <c r="X6" s="7"/>
    </row>
    <row r="7" spans="1:24" ht="20.100000000000001" customHeight="1">
      <c r="A7" s="932" t="s">
        <v>322</v>
      </c>
      <c r="B7" s="933"/>
      <c r="C7" s="1023" t="s">
        <v>474</v>
      </c>
      <c r="D7" s="1023"/>
      <c r="E7" s="1023"/>
      <c r="F7" s="1023"/>
      <c r="G7" s="1023" t="s">
        <v>475</v>
      </c>
      <c r="H7" s="1023"/>
      <c r="I7" s="1023"/>
      <c r="J7" s="1023" t="s">
        <v>476</v>
      </c>
      <c r="K7" s="1023"/>
      <c r="L7" s="1024"/>
      <c r="M7" s="7"/>
      <c r="N7" s="932" t="s">
        <v>323</v>
      </c>
      <c r="O7" s="933"/>
      <c r="P7" s="933"/>
      <c r="Q7" s="933" t="s">
        <v>324</v>
      </c>
      <c r="R7" s="933"/>
      <c r="S7" s="933" t="s">
        <v>325</v>
      </c>
      <c r="T7" s="933"/>
      <c r="U7" s="933" t="s">
        <v>326</v>
      </c>
      <c r="V7" s="933"/>
      <c r="W7" s="933" t="s">
        <v>327</v>
      </c>
      <c r="X7" s="980"/>
    </row>
    <row r="8" spans="1:24" ht="20.100000000000001" customHeight="1">
      <c r="A8" s="934"/>
      <c r="B8" s="935"/>
      <c r="C8" s="1017" t="s">
        <v>328</v>
      </c>
      <c r="D8" s="1017"/>
      <c r="E8" s="1017"/>
      <c r="F8" s="1017"/>
      <c r="G8" s="1017" t="s">
        <v>29</v>
      </c>
      <c r="H8" s="1017"/>
      <c r="I8" s="1017"/>
      <c r="J8" s="1017" t="s">
        <v>329</v>
      </c>
      <c r="K8" s="1017"/>
      <c r="L8" s="1018"/>
      <c r="M8" s="83"/>
      <c r="N8" s="1036" t="s">
        <v>691</v>
      </c>
      <c r="O8" s="1037"/>
      <c r="P8" s="1038"/>
      <c r="Q8" s="1039">
        <v>32</v>
      </c>
      <c r="R8" s="1025"/>
      <c r="S8" s="1025">
        <v>14.5</v>
      </c>
      <c r="T8" s="1025"/>
      <c r="U8" s="1025">
        <v>46.5</v>
      </c>
      <c r="V8" s="1025"/>
      <c r="W8" s="1025">
        <v>45.3</v>
      </c>
      <c r="X8" s="1035"/>
    </row>
    <row r="9" spans="1:24" ht="20.100000000000001" customHeight="1">
      <c r="A9" s="934"/>
      <c r="B9" s="935"/>
      <c r="C9" s="935" t="s">
        <v>457</v>
      </c>
      <c r="D9" s="935"/>
      <c r="E9" s="935"/>
      <c r="F9" s="652" t="s">
        <v>330</v>
      </c>
      <c r="G9" s="935" t="s">
        <v>457</v>
      </c>
      <c r="H9" s="935"/>
      <c r="I9" s="652" t="s">
        <v>330</v>
      </c>
      <c r="J9" s="935" t="s">
        <v>457</v>
      </c>
      <c r="K9" s="935"/>
      <c r="L9" s="190" t="s">
        <v>330</v>
      </c>
      <c r="M9" s="44"/>
      <c r="N9" s="978" t="s">
        <v>687</v>
      </c>
      <c r="O9" s="920"/>
      <c r="P9" s="998"/>
      <c r="Q9" s="1040">
        <v>30.2</v>
      </c>
      <c r="R9" s="1031"/>
      <c r="S9" s="1031">
        <v>18.5</v>
      </c>
      <c r="T9" s="1031"/>
      <c r="U9" s="1031">
        <v>48.6</v>
      </c>
      <c r="V9" s="1031"/>
      <c r="W9" s="1031">
        <v>61.2</v>
      </c>
      <c r="X9" s="1033"/>
    </row>
    <row r="10" spans="1:24" ht="20.100000000000001" customHeight="1">
      <c r="A10" s="1019" t="s">
        <v>680</v>
      </c>
      <c r="B10" s="1020"/>
      <c r="C10" s="1021">
        <v>21892</v>
      </c>
      <c r="D10" s="1022"/>
      <c r="E10" s="1022"/>
      <c r="F10" s="272">
        <v>11286</v>
      </c>
      <c r="G10" s="1021">
        <v>68413</v>
      </c>
      <c r="H10" s="1022"/>
      <c r="I10" s="272">
        <v>33660</v>
      </c>
      <c r="J10" s="1021">
        <v>9917</v>
      </c>
      <c r="K10" s="1022"/>
      <c r="L10" s="273">
        <v>4165</v>
      </c>
      <c r="M10" s="656"/>
      <c r="N10" s="978" t="s">
        <v>689</v>
      </c>
      <c r="O10" s="920"/>
      <c r="P10" s="998"/>
      <c r="Q10" s="992">
        <v>29.3</v>
      </c>
      <c r="R10" s="992"/>
      <c r="S10" s="1031">
        <v>21.8</v>
      </c>
      <c r="T10" s="1031"/>
      <c r="U10" s="1030">
        <v>51.1</v>
      </c>
      <c r="V10" s="1030"/>
      <c r="W10" s="1032">
        <v>74.5</v>
      </c>
      <c r="X10" s="1033"/>
    </row>
    <row r="11" spans="1:24" ht="20.100000000000001" customHeight="1" thickBot="1">
      <c r="A11" s="668"/>
      <c r="B11" s="669"/>
      <c r="C11" s="666"/>
      <c r="D11" s="666"/>
      <c r="E11" s="666"/>
      <c r="F11" s="272"/>
      <c r="G11" s="666"/>
      <c r="H11" s="666"/>
      <c r="I11" s="272"/>
      <c r="J11" s="666"/>
      <c r="K11" s="666"/>
      <c r="L11" s="273"/>
      <c r="M11" s="85"/>
      <c r="N11" s="1013" t="s">
        <v>692</v>
      </c>
      <c r="O11" s="1014"/>
      <c r="P11" s="1015"/>
      <c r="Q11" s="1034">
        <v>28.8</v>
      </c>
      <c r="R11" s="1034"/>
      <c r="S11" s="1029">
        <v>26.8</v>
      </c>
      <c r="T11" s="1029"/>
      <c r="U11" s="1028">
        <v>55.6</v>
      </c>
      <c r="V11" s="1028"/>
      <c r="W11" s="1026">
        <v>93.1</v>
      </c>
      <c r="X11" s="1027"/>
    </row>
    <row r="12" spans="1:24" ht="20.100000000000001" customHeight="1">
      <c r="A12" s="1009" t="s">
        <v>681</v>
      </c>
      <c r="B12" s="1010"/>
      <c r="C12" s="1011">
        <v>21528</v>
      </c>
      <c r="D12" s="1012"/>
      <c r="E12" s="1012"/>
      <c r="F12" s="272">
        <v>11208</v>
      </c>
      <c r="G12" s="1011">
        <v>71343</v>
      </c>
      <c r="H12" s="1012"/>
      <c r="I12" s="272">
        <v>35226</v>
      </c>
      <c r="J12" s="1011">
        <v>13169</v>
      </c>
      <c r="K12" s="1012"/>
      <c r="L12" s="273">
        <v>5689</v>
      </c>
      <c r="M12" s="85"/>
      <c r="X12" s="7" t="s">
        <v>663</v>
      </c>
    </row>
    <row r="13" spans="1:24" ht="20.100000000000001" customHeight="1">
      <c r="A13" s="668"/>
      <c r="B13" s="669"/>
      <c r="C13" s="666"/>
      <c r="D13" s="666"/>
      <c r="E13" s="666"/>
      <c r="F13" s="272"/>
      <c r="G13" s="666"/>
      <c r="H13" s="666"/>
      <c r="I13" s="272"/>
      <c r="J13" s="666"/>
      <c r="K13" s="666"/>
      <c r="L13" s="273"/>
      <c r="M13" s="85"/>
      <c r="N13" s="86"/>
      <c r="P13" s="1016" t="s">
        <v>331</v>
      </c>
      <c r="Q13" s="1016"/>
      <c r="V13" s="87" t="s">
        <v>332</v>
      </c>
    </row>
    <row r="14" spans="1:24" ht="20.100000000000001" customHeight="1">
      <c r="A14" s="1009" t="s">
        <v>682</v>
      </c>
      <c r="B14" s="1010"/>
      <c r="C14" s="1011">
        <v>21264</v>
      </c>
      <c r="D14" s="1012"/>
      <c r="E14" s="1012"/>
      <c r="F14" s="272">
        <v>10962</v>
      </c>
      <c r="G14" s="1011">
        <v>72687</v>
      </c>
      <c r="H14" s="1012"/>
      <c r="I14" s="272">
        <v>35732</v>
      </c>
      <c r="J14" s="1011">
        <v>15846</v>
      </c>
      <c r="K14" s="1012"/>
      <c r="L14" s="273">
        <v>6910</v>
      </c>
      <c r="M14" s="85"/>
      <c r="N14" s="5" t="s">
        <v>333</v>
      </c>
      <c r="O14" s="529"/>
      <c r="P14" s="88"/>
      <c r="Q14" s="5" t="s">
        <v>334</v>
      </c>
      <c r="R14" s="5" t="s">
        <v>335</v>
      </c>
      <c r="T14" s="5" t="s">
        <v>336</v>
      </c>
      <c r="W14" s="5" t="s">
        <v>337</v>
      </c>
    </row>
    <row r="15" spans="1:24" ht="20.100000000000001" customHeight="1">
      <c r="A15" s="668"/>
      <c r="B15" s="669"/>
      <c r="C15" s="666"/>
      <c r="D15" s="666"/>
      <c r="E15" s="666"/>
      <c r="F15" s="272"/>
      <c r="G15" s="666"/>
      <c r="H15" s="666"/>
      <c r="I15" s="272"/>
      <c r="J15" s="666"/>
      <c r="K15" s="666"/>
      <c r="L15" s="273"/>
      <c r="M15" s="85"/>
      <c r="N15" s="69"/>
      <c r="O15" s="88"/>
      <c r="P15" s="1002" t="s">
        <v>338</v>
      </c>
      <c r="Q15" s="1002"/>
      <c r="V15" s="89" t="s">
        <v>338</v>
      </c>
    </row>
    <row r="16" spans="1:24" ht="20.100000000000001" customHeight="1" thickBot="1">
      <c r="A16" s="1006" t="s">
        <v>683</v>
      </c>
      <c r="B16" s="1007"/>
      <c r="C16" s="1008">
        <v>20910</v>
      </c>
      <c r="D16" s="1008"/>
      <c r="E16" s="1008"/>
      <c r="F16" s="275">
        <v>10642</v>
      </c>
      <c r="G16" s="1008">
        <v>72626</v>
      </c>
      <c r="H16" s="1008"/>
      <c r="I16" s="275">
        <v>35553</v>
      </c>
      <c r="J16" s="1008">
        <v>19476</v>
      </c>
      <c r="K16" s="1008"/>
      <c r="L16" s="276">
        <v>8649</v>
      </c>
      <c r="M16" s="85"/>
    </row>
    <row r="17" spans="1:24" ht="20.100000000000001" customHeight="1">
      <c r="A17" s="5" t="s">
        <v>339</v>
      </c>
      <c r="L17" s="7" t="s">
        <v>663</v>
      </c>
      <c r="M17" s="85"/>
      <c r="N17" s="5" t="s">
        <v>340</v>
      </c>
      <c r="O17" s="88"/>
      <c r="P17" s="86" t="s">
        <v>341</v>
      </c>
      <c r="Q17" s="90"/>
      <c r="U17" s="86" t="s">
        <v>342</v>
      </c>
    </row>
    <row r="18" spans="1:24" ht="20.100000000000001" customHeight="1">
      <c r="H18" s="309"/>
      <c r="M18" s="7"/>
      <c r="N18" s="5" t="s">
        <v>343</v>
      </c>
      <c r="O18" s="529"/>
      <c r="S18" s="529" t="s">
        <v>344</v>
      </c>
      <c r="T18" s="5" t="s">
        <v>345</v>
      </c>
      <c r="U18" s="529"/>
      <c r="W18" s="5" t="s">
        <v>346</v>
      </c>
    </row>
    <row r="19" spans="1:24" ht="20.100000000000001" customHeight="1">
      <c r="A19" s="5"/>
      <c r="N19" s="69"/>
      <c r="Q19" s="89" t="s">
        <v>338</v>
      </c>
      <c r="U19" s="1003" t="s">
        <v>331</v>
      </c>
      <c r="V19" s="1003"/>
    </row>
    <row r="20" spans="1:24" ht="12" customHeight="1">
      <c r="A20" s="5"/>
      <c r="N20" s="69"/>
      <c r="Q20" s="89"/>
      <c r="U20" s="91"/>
      <c r="V20" s="91"/>
    </row>
    <row r="21" spans="1:24" ht="15" customHeight="1" thickBot="1">
      <c r="A21" s="14" t="s">
        <v>347</v>
      </c>
      <c r="M21" s="88"/>
      <c r="X21" s="7" t="s">
        <v>200</v>
      </c>
    </row>
    <row r="22" spans="1:24" ht="30" customHeight="1">
      <c r="A22" s="192" t="s">
        <v>348</v>
      </c>
      <c r="B22" s="193"/>
      <c r="C22" s="194"/>
      <c r="D22" s="829" t="s">
        <v>349</v>
      </c>
      <c r="E22" s="829"/>
      <c r="F22" s="654" t="s">
        <v>350</v>
      </c>
      <c r="G22" s="654" t="s">
        <v>351</v>
      </c>
      <c r="H22" s="654" t="s">
        <v>352</v>
      </c>
      <c r="I22" s="654" t="s">
        <v>353</v>
      </c>
      <c r="J22" s="654" t="s">
        <v>299</v>
      </c>
      <c r="K22" s="654" t="s">
        <v>300</v>
      </c>
      <c r="L22" s="653" t="s">
        <v>301</v>
      </c>
      <c r="M22" s="464"/>
      <c r="N22" s="465" t="s">
        <v>354</v>
      </c>
      <c r="O22" s="654" t="s">
        <v>355</v>
      </c>
      <c r="P22" s="654" t="s">
        <v>356</v>
      </c>
      <c r="Q22" s="654" t="s">
        <v>357</v>
      </c>
      <c r="R22" s="654" t="s">
        <v>358</v>
      </c>
      <c r="S22" s="654" t="s">
        <v>312</v>
      </c>
      <c r="T22" s="654" t="s">
        <v>313</v>
      </c>
      <c r="U22" s="654" t="s">
        <v>314</v>
      </c>
      <c r="V22" s="654" t="s">
        <v>315</v>
      </c>
      <c r="W22" s="654" t="s">
        <v>359</v>
      </c>
      <c r="X22" s="657" t="s">
        <v>360</v>
      </c>
    </row>
    <row r="23" spans="1:24" ht="24" customHeight="1">
      <c r="A23" s="658" t="s">
        <v>361</v>
      </c>
      <c r="B23" s="999" t="s">
        <v>362</v>
      </c>
      <c r="C23" s="1000"/>
      <c r="D23" s="1004">
        <f>SUM(F23:X23)</f>
        <v>100.00000000000001</v>
      </c>
      <c r="E23" s="1005"/>
      <c r="F23" s="659">
        <f>F24/$D$24*100</f>
        <v>7.5262327953744625</v>
      </c>
      <c r="G23" s="659">
        <f t="shared" ref="G23:L23" si="0">G24/$D$24*100</f>
        <v>6.943173632877139</v>
      </c>
      <c r="H23" s="659">
        <f t="shared" si="0"/>
        <v>6.839994549029532</v>
      </c>
      <c r="I23" s="659">
        <f t="shared" si="0"/>
        <v>6.9266260439581835</v>
      </c>
      <c r="J23" s="659">
        <f t="shared" si="0"/>
        <v>6.1985321315241304</v>
      </c>
      <c r="K23" s="659">
        <f t="shared" si="0"/>
        <v>8.5142211925944675</v>
      </c>
      <c r="L23" s="659">
        <f t="shared" si="0"/>
        <v>8.3331711020694232</v>
      </c>
      <c r="M23" s="92"/>
      <c r="N23" s="665">
        <f>N24/$D$24*100</f>
        <v>7.575875562131329</v>
      </c>
      <c r="O23" s="665">
        <f t="shared" ref="O23:X23" si="1">O24/$D$24*100</f>
        <v>6.8672494013666361</v>
      </c>
      <c r="P23" s="665">
        <f t="shared" si="1"/>
        <v>7.1514785757392882</v>
      </c>
      <c r="Q23" s="665">
        <f t="shared" si="1"/>
        <v>6.0067747775809375</v>
      </c>
      <c r="R23" s="665">
        <f t="shared" si="1"/>
        <v>4.4055522027761018</v>
      </c>
      <c r="S23" s="665">
        <f t="shared" si="1"/>
        <v>4.6128837580547826</v>
      </c>
      <c r="T23" s="665">
        <f t="shared" si="1"/>
        <v>3.7163937936807683</v>
      </c>
      <c r="U23" s="665">
        <f t="shared" si="1"/>
        <v>2.382852804329628</v>
      </c>
      <c r="V23" s="665">
        <f t="shared" si="1"/>
        <v>1.5136176922927171</v>
      </c>
      <c r="W23" s="665">
        <f t="shared" si="1"/>
        <v>2.040220374948897</v>
      </c>
      <c r="X23" s="332">
        <f t="shared" si="1"/>
        <v>2.4451496096715792</v>
      </c>
    </row>
    <row r="24" spans="1:24" ht="24" customHeight="1">
      <c r="A24" s="658" t="s">
        <v>363</v>
      </c>
      <c r="B24" s="995" t="s">
        <v>364</v>
      </c>
      <c r="C24" s="996"/>
      <c r="D24" s="994">
        <f t="shared" ref="D24:D36" si="2">SUM(F24:X24)</f>
        <v>102734</v>
      </c>
      <c r="E24" s="997"/>
      <c r="F24" s="661">
        <f t="shared" ref="F24:L24" si="3">F25+F26</f>
        <v>7732</v>
      </c>
      <c r="G24" s="661">
        <f t="shared" si="3"/>
        <v>7133</v>
      </c>
      <c r="H24" s="661">
        <f t="shared" si="3"/>
        <v>7027</v>
      </c>
      <c r="I24" s="661">
        <f t="shared" si="3"/>
        <v>7116</v>
      </c>
      <c r="J24" s="661">
        <f t="shared" si="3"/>
        <v>6368</v>
      </c>
      <c r="K24" s="661">
        <f t="shared" si="3"/>
        <v>8747</v>
      </c>
      <c r="L24" s="661">
        <f t="shared" si="3"/>
        <v>8561</v>
      </c>
      <c r="M24" s="661"/>
      <c r="N24" s="661">
        <f t="shared" ref="N24:X24" si="4">N25+N26</f>
        <v>7783</v>
      </c>
      <c r="O24" s="661">
        <f t="shared" si="4"/>
        <v>7055</v>
      </c>
      <c r="P24" s="661">
        <f t="shared" si="4"/>
        <v>7347</v>
      </c>
      <c r="Q24" s="661">
        <f t="shared" si="4"/>
        <v>6171</v>
      </c>
      <c r="R24" s="661">
        <f t="shared" si="4"/>
        <v>4526</v>
      </c>
      <c r="S24" s="661">
        <f t="shared" si="4"/>
        <v>4739</v>
      </c>
      <c r="T24" s="661">
        <f t="shared" si="4"/>
        <v>3818</v>
      </c>
      <c r="U24" s="661">
        <f t="shared" si="4"/>
        <v>2448</v>
      </c>
      <c r="V24" s="661">
        <f t="shared" si="4"/>
        <v>1555</v>
      </c>
      <c r="W24" s="661">
        <f t="shared" si="4"/>
        <v>2096</v>
      </c>
      <c r="X24" s="164">
        <f t="shared" si="4"/>
        <v>2512</v>
      </c>
    </row>
    <row r="25" spans="1:24" ht="24" customHeight="1">
      <c r="A25" s="185" t="s">
        <v>684</v>
      </c>
      <c r="B25" s="979" t="s">
        <v>21</v>
      </c>
      <c r="C25" s="998"/>
      <c r="D25" s="988">
        <f t="shared" si="2"/>
        <v>50440</v>
      </c>
      <c r="E25" s="989"/>
      <c r="F25" s="662">
        <v>4013</v>
      </c>
      <c r="G25" s="662">
        <v>3646</v>
      </c>
      <c r="H25" s="662">
        <v>3627</v>
      </c>
      <c r="I25" s="662">
        <v>3646</v>
      </c>
      <c r="J25" s="662">
        <v>3060</v>
      </c>
      <c r="K25" s="662">
        <v>4182</v>
      </c>
      <c r="L25" s="662">
        <v>4124</v>
      </c>
      <c r="M25" s="662"/>
      <c r="N25" s="662">
        <v>3850</v>
      </c>
      <c r="O25" s="662">
        <v>3548</v>
      </c>
      <c r="P25" s="662">
        <v>3621</v>
      </c>
      <c r="Q25" s="662">
        <v>3094</v>
      </c>
      <c r="R25" s="662">
        <v>2210</v>
      </c>
      <c r="S25" s="662">
        <v>2325</v>
      </c>
      <c r="T25" s="662">
        <v>1868</v>
      </c>
      <c r="U25" s="662">
        <v>1096</v>
      </c>
      <c r="V25" s="662">
        <v>611</v>
      </c>
      <c r="W25" s="662">
        <v>590</v>
      </c>
      <c r="X25" s="155">
        <v>1329</v>
      </c>
    </row>
    <row r="26" spans="1:24" ht="24" customHeight="1">
      <c r="A26" s="663" t="s">
        <v>365</v>
      </c>
      <c r="B26" s="984" t="s">
        <v>22</v>
      </c>
      <c r="C26" s="985"/>
      <c r="D26" s="988">
        <f t="shared" si="2"/>
        <v>52294</v>
      </c>
      <c r="E26" s="989"/>
      <c r="F26" s="662">
        <v>3719</v>
      </c>
      <c r="G26" s="662">
        <v>3487</v>
      </c>
      <c r="H26" s="662">
        <v>3400</v>
      </c>
      <c r="I26" s="662">
        <v>3470</v>
      </c>
      <c r="J26" s="662">
        <v>3308</v>
      </c>
      <c r="K26" s="662">
        <v>4565</v>
      </c>
      <c r="L26" s="662">
        <v>4437</v>
      </c>
      <c r="M26" s="662"/>
      <c r="N26" s="662">
        <v>3933</v>
      </c>
      <c r="O26" s="662">
        <v>3507</v>
      </c>
      <c r="P26" s="662">
        <v>3726</v>
      </c>
      <c r="Q26" s="662">
        <v>3077</v>
      </c>
      <c r="R26" s="662">
        <v>2316</v>
      </c>
      <c r="S26" s="662">
        <v>2414</v>
      </c>
      <c r="T26" s="662">
        <v>1950</v>
      </c>
      <c r="U26" s="662">
        <v>1352</v>
      </c>
      <c r="V26" s="662">
        <v>944</v>
      </c>
      <c r="W26" s="662">
        <v>1506</v>
      </c>
      <c r="X26" s="155">
        <v>1183</v>
      </c>
    </row>
    <row r="27" spans="1:24" ht="24" customHeight="1">
      <c r="A27" s="658" t="s">
        <v>361</v>
      </c>
      <c r="B27" s="999" t="s">
        <v>362</v>
      </c>
      <c r="C27" s="1000"/>
      <c r="D27" s="992">
        <f t="shared" si="2"/>
        <v>100.00000000000001</v>
      </c>
      <c r="E27" s="1001"/>
      <c r="F27" s="659">
        <f>F28/$D$28*100</f>
        <v>6.9090703354109895</v>
      </c>
      <c r="G27" s="659">
        <f t="shared" ref="G27:L27" si="5">G28/$D$28*100</f>
        <v>6.8770096842025854</v>
      </c>
      <c r="H27" s="659">
        <f t="shared" si="5"/>
        <v>6.5139699572838969</v>
      </c>
      <c r="I27" s="659">
        <f t="shared" si="5"/>
        <v>6.4121302416807326</v>
      </c>
      <c r="J27" s="659">
        <f t="shared" si="5"/>
        <v>6.0868089279484012</v>
      </c>
      <c r="K27" s="659">
        <f t="shared" si="5"/>
        <v>7.2598515780441115</v>
      </c>
      <c r="L27" s="659">
        <f t="shared" si="5"/>
        <v>8.9562372111005288</v>
      </c>
      <c r="M27" s="92"/>
      <c r="N27" s="659">
        <f>N28/$D$28*100</f>
        <v>7.9189808484757043</v>
      </c>
      <c r="O27" s="659">
        <f t="shared" ref="O27:X27" si="6">O28/$D$28*100</f>
        <v>7.0976624013427765</v>
      </c>
      <c r="P27" s="659">
        <f t="shared" si="6"/>
        <v>6.5601750134371848</v>
      </c>
      <c r="Q27" s="659">
        <f t="shared" si="6"/>
        <v>6.9062414544220125</v>
      </c>
      <c r="R27" s="659">
        <f t="shared" si="6"/>
        <v>5.7869475431168613</v>
      </c>
      <c r="S27" s="659">
        <f t="shared" si="6"/>
        <v>4.2885835792888187</v>
      </c>
      <c r="T27" s="659">
        <f t="shared" si="6"/>
        <v>4.3762788899471001</v>
      </c>
      <c r="U27" s="659">
        <f t="shared" si="6"/>
        <v>3.3776839008382917</v>
      </c>
      <c r="V27" s="659">
        <f t="shared" si="6"/>
        <v>2.1131740987656649</v>
      </c>
      <c r="W27" s="659">
        <f t="shared" si="6"/>
        <v>2.5507076917274092</v>
      </c>
      <c r="X27" s="660">
        <f t="shared" si="6"/>
        <v>8.4866429669303804E-3</v>
      </c>
    </row>
    <row r="28" spans="1:24" ht="24" customHeight="1">
      <c r="A28" s="658" t="s">
        <v>363</v>
      </c>
      <c r="B28" s="995" t="s">
        <v>364</v>
      </c>
      <c r="C28" s="996"/>
      <c r="D28" s="994">
        <f t="shared" si="2"/>
        <v>106049</v>
      </c>
      <c r="E28" s="997"/>
      <c r="F28" s="661">
        <f t="shared" ref="F28:L28" si="7">F29+F30</f>
        <v>7327</v>
      </c>
      <c r="G28" s="661">
        <f t="shared" si="7"/>
        <v>7293</v>
      </c>
      <c r="H28" s="661">
        <f t="shared" si="7"/>
        <v>6908</v>
      </c>
      <c r="I28" s="661">
        <f t="shared" si="7"/>
        <v>6800</v>
      </c>
      <c r="J28" s="661">
        <f t="shared" si="7"/>
        <v>6455</v>
      </c>
      <c r="K28" s="661">
        <f t="shared" si="7"/>
        <v>7699</v>
      </c>
      <c r="L28" s="661">
        <f t="shared" si="7"/>
        <v>9498</v>
      </c>
      <c r="M28" s="661"/>
      <c r="N28" s="661">
        <f t="shared" ref="N28:X28" si="8">N29+N30</f>
        <v>8398</v>
      </c>
      <c r="O28" s="661">
        <f t="shared" si="8"/>
        <v>7527</v>
      </c>
      <c r="P28" s="661">
        <f t="shared" si="8"/>
        <v>6957</v>
      </c>
      <c r="Q28" s="661">
        <f t="shared" si="8"/>
        <v>7324</v>
      </c>
      <c r="R28" s="661">
        <f t="shared" si="8"/>
        <v>6137</v>
      </c>
      <c r="S28" s="661">
        <f t="shared" si="8"/>
        <v>4548</v>
      </c>
      <c r="T28" s="661">
        <f t="shared" si="8"/>
        <v>4641</v>
      </c>
      <c r="U28" s="661">
        <f t="shared" si="8"/>
        <v>3582</v>
      </c>
      <c r="V28" s="661">
        <f t="shared" si="8"/>
        <v>2241</v>
      </c>
      <c r="W28" s="661">
        <f t="shared" si="8"/>
        <v>2705</v>
      </c>
      <c r="X28" s="164">
        <f t="shared" si="8"/>
        <v>9</v>
      </c>
    </row>
    <row r="29" spans="1:24" ht="24" customHeight="1">
      <c r="A29" s="658">
        <v>17</v>
      </c>
      <c r="B29" s="979" t="s">
        <v>21</v>
      </c>
      <c r="C29" s="998"/>
      <c r="D29" s="988">
        <f t="shared" si="2"/>
        <v>52128</v>
      </c>
      <c r="E29" s="989"/>
      <c r="F29" s="662">
        <v>3811</v>
      </c>
      <c r="G29" s="662">
        <v>3814</v>
      </c>
      <c r="H29" s="662">
        <v>3583</v>
      </c>
      <c r="I29" s="662">
        <v>3479</v>
      </c>
      <c r="J29" s="662">
        <v>3196</v>
      </c>
      <c r="K29" s="662">
        <v>3739</v>
      </c>
      <c r="L29" s="662">
        <v>4660</v>
      </c>
      <c r="M29" s="662"/>
      <c r="N29" s="662">
        <v>4053</v>
      </c>
      <c r="O29" s="662">
        <v>3688</v>
      </c>
      <c r="P29" s="662">
        <v>3527</v>
      </c>
      <c r="Q29" s="662">
        <v>3596</v>
      </c>
      <c r="R29" s="662">
        <v>3086</v>
      </c>
      <c r="S29" s="662">
        <v>2202</v>
      </c>
      <c r="T29" s="662">
        <v>2241</v>
      </c>
      <c r="U29" s="662">
        <v>1692</v>
      </c>
      <c r="V29" s="662">
        <v>951</v>
      </c>
      <c r="W29" s="662">
        <v>805</v>
      </c>
      <c r="X29" s="155">
        <v>5</v>
      </c>
    </row>
    <row r="30" spans="1:24" ht="24" customHeight="1">
      <c r="A30" s="663" t="s">
        <v>365</v>
      </c>
      <c r="B30" s="984" t="s">
        <v>22</v>
      </c>
      <c r="C30" s="985"/>
      <c r="D30" s="988">
        <f t="shared" si="2"/>
        <v>53921</v>
      </c>
      <c r="E30" s="989"/>
      <c r="F30" s="662">
        <v>3516</v>
      </c>
      <c r="G30" s="662">
        <v>3479</v>
      </c>
      <c r="H30" s="662">
        <v>3325</v>
      </c>
      <c r="I30" s="662">
        <v>3321</v>
      </c>
      <c r="J30" s="662">
        <v>3259</v>
      </c>
      <c r="K30" s="662">
        <v>3960</v>
      </c>
      <c r="L30" s="662">
        <v>4838</v>
      </c>
      <c r="M30" s="662"/>
      <c r="N30" s="662">
        <v>4345</v>
      </c>
      <c r="O30" s="662">
        <v>3839</v>
      </c>
      <c r="P30" s="662">
        <v>3430</v>
      </c>
      <c r="Q30" s="662">
        <v>3728</v>
      </c>
      <c r="R30" s="662">
        <v>3051</v>
      </c>
      <c r="S30" s="662">
        <v>2346</v>
      </c>
      <c r="T30" s="662">
        <v>2400</v>
      </c>
      <c r="U30" s="662">
        <v>1890</v>
      </c>
      <c r="V30" s="662">
        <v>1290</v>
      </c>
      <c r="W30" s="662">
        <v>1900</v>
      </c>
      <c r="X30" s="155">
        <v>4</v>
      </c>
    </row>
    <row r="31" spans="1:24" ht="24" customHeight="1">
      <c r="A31" s="658" t="s">
        <v>361</v>
      </c>
      <c r="B31" s="999" t="s">
        <v>362</v>
      </c>
      <c r="C31" s="1000"/>
      <c r="D31" s="992">
        <f>SUM(F31:X31)</f>
        <v>100.00000000000001</v>
      </c>
      <c r="E31" s="1001"/>
      <c r="F31" s="659">
        <f>F32/$D$32*100</f>
        <v>6.5074172413480627</v>
      </c>
      <c r="G31" s="659">
        <f t="shared" ref="G31:L31" si="9">G32/$D$32*100</f>
        <v>6.3424889670234075</v>
      </c>
      <c r="H31" s="659">
        <f t="shared" si="9"/>
        <v>6.4195159083288784</v>
      </c>
      <c r="I31" s="659">
        <f t="shared" si="9"/>
        <v>6.0579423838479034</v>
      </c>
      <c r="J31" s="659">
        <f t="shared" si="9"/>
        <v>5.3375139328143835</v>
      </c>
      <c r="K31" s="659">
        <f t="shared" si="9"/>
        <v>6.5916937771293416</v>
      </c>
      <c r="L31" s="659">
        <f t="shared" si="9"/>
        <v>7.2785928537122455</v>
      </c>
      <c r="M31" s="92"/>
      <c r="N31" s="659">
        <f>N32/$D$32*100</f>
        <v>8.5137425125282054</v>
      </c>
      <c r="O31" s="659">
        <f t="shared" ref="O31:X31" si="10">O32/$D$32*100</f>
        <v>7.3746499805167147</v>
      </c>
      <c r="P31" s="659">
        <f t="shared" si="10"/>
        <v>6.6052867667714841</v>
      </c>
      <c r="Q31" s="659">
        <f t="shared" si="10"/>
        <v>6.2038404726735603</v>
      </c>
      <c r="R31" s="659">
        <f t="shared" si="10"/>
        <v>6.4467018876131617</v>
      </c>
      <c r="S31" s="659">
        <f t="shared" si="10"/>
        <v>5.4589446402841846</v>
      </c>
      <c r="T31" s="659">
        <f t="shared" si="10"/>
        <v>3.9555599858632906</v>
      </c>
      <c r="U31" s="659">
        <f t="shared" si="10"/>
        <v>4.019900136836096</v>
      </c>
      <c r="V31" s="659">
        <f t="shared" si="10"/>
        <v>2.9732399343911702</v>
      </c>
      <c r="W31" s="659">
        <f t="shared" si="10"/>
        <v>3.4109342008681391</v>
      </c>
      <c r="X31" s="660">
        <f t="shared" si="10"/>
        <v>0.50203441744977384</v>
      </c>
    </row>
    <row r="32" spans="1:24" ht="24" customHeight="1">
      <c r="A32" s="658" t="s">
        <v>363</v>
      </c>
      <c r="B32" s="995" t="s">
        <v>364</v>
      </c>
      <c r="C32" s="996"/>
      <c r="D32" s="994">
        <f t="shared" si="2"/>
        <v>110351</v>
      </c>
      <c r="E32" s="997"/>
      <c r="F32" s="661">
        <f t="shared" ref="F32:L32" si="11">F33+F34</f>
        <v>7181</v>
      </c>
      <c r="G32" s="661">
        <f t="shared" si="11"/>
        <v>6999</v>
      </c>
      <c r="H32" s="661">
        <f t="shared" si="11"/>
        <v>7084</v>
      </c>
      <c r="I32" s="661">
        <f t="shared" si="11"/>
        <v>6685</v>
      </c>
      <c r="J32" s="661">
        <f t="shared" si="11"/>
        <v>5890</v>
      </c>
      <c r="K32" s="661">
        <f t="shared" si="11"/>
        <v>7274</v>
      </c>
      <c r="L32" s="661">
        <f t="shared" si="11"/>
        <v>8032</v>
      </c>
      <c r="M32" s="661"/>
      <c r="N32" s="661">
        <f t="shared" ref="N32:X32" si="12">N33+N34</f>
        <v>9395</v>
      </c>
      <c r="O32" s="661">
        <f t="shared" si="12"/>
        <v>8138</v>
      </c>
      <c r="P32" s="661">
        <f t="shared" si="12"/>
        <v>7289</v>
      </c>
      <c r="Q32" s="661">
        <f t="shared" si="12"/>
        <v>6846</v>
      </c>
      <c r="R32" s="661">
        <f t="shared" si="12"/>
        <v>7114</v>
      </c>
      <c r="S32" s="661">
        <f t="shared" si="12"/>
        <v>6024</v>
      </c>
      <c r="T32" s="661">
        <f t="shared" si="12"/>
        <v>4365</v>
      </c>
      <c r="U32" s="661">
        <f t="shared" si="12"/>
        <v>4436</v>
      </c>
      <c r="V32" s="661">
        <f t="shared" si="12"/>
        <v>3281</v>
      </c>
      <c r="W32" s="661">
        <f t="shared" si="12"/>
        <v>3764</v>
      </c>
      <c r="X32" s="164">
        <f t="shared" si="12"/>
        <v>554</v>
      </c>
    </row>
    <row r="33" spans="1:24" ht="24" customHeight="1">
      <c r="A33" s="658">
        <v>22</v>
      </c>
      <c r="B33" s="979" t="s">
        <v>21</v>
      </c>
      <c r="C33" s="998"/>
      <c r="D33" s="988">
        <f t="shared" si="2"/>
        <v>53948</v>
      </c>
      <c r="E33" s="989"/>
      <c r="F33" s="662">
        <v>3678</v>
      </c>
      <c r="G33" s="662">
        <v>3637</v>
      </c>
      <c r="H33" s="662">
        <v>3647</v>
      </c>
      <c r="I33" s="662">
        <v>3405</v>
      </c>
      <c r="J33" s="662">
        <v>2967</v>
      </c>
      <c r="K33" s="662">
        <v>3500</v>
      </c>
      <c r="L33" s="662">
        <v>3893</v>
      </c>
      <c r="M33" s="662"/>
      <c r="N33" s="662">
        <v>4653</v>
      </c>
      <c r="O33" s="662">
        <v>3925</v>
      </c>
      <c r="P33" s="662">
        <v>3525</v>
      </c>
      <c r="Q33" s="662">
        <v>3420</v>
      </c>
      <c r="R33" s="662">
        <v>3427</v>
      </c>
      <c r="S33" s="662">
        <v>3017</v>
      </c>
      <c r="T33" s="662">
        <v>2094</v>
      </c>
      <c r="U33" s="662">
        <v>2100</v>
      </c>
      <c r="V33" s="662">
        <v>1477</v>
      </c>
      <c r="W33" s="662">
        <v>1239</v>
      </c>
      <c r="X33" s="155">
        <v>344</v>
      </c>
    </row>
    <row r="34" spans="1:24" ht="24" customHeight="1">
      <c r="A34" s="658" t="s">
        <v>365</v>
      </c>
      <c r="B34" s="984" t="s">
        <v>22</v>
      </c>
      <c r="C34" s="985"/>
      <c r="D34" s="988">
        <f t="shared" si="2"/>
        <v>56403</v>
      </c>
      <c r="E34" s="989"/>
      <c r="F34" s="662">
        <v>3503</v>
      </c>
      <c r="G34" s="662">
        <v>3362</v>
      </c>
      <c r="H34" s="662">
        <v>3437</v>
      </c>
      <c r="I34" s="662">
        <v>3280</v>
      </c>
      <c r="J34" s="662">
        <v>2923</v>
      </c>
      <c r="K34" s="662">
        <v>3774</v>
      </c>
      <c r="L34" s="662">
        <v>4139</v>
      </c>
      <c r="M34" s="662"/>
      <c r="N34" s="662">
        <v>4742</v>
      </c>
      <c r="O34" s="662">
        <v>4213</v>
      </c>
      <c r="P34" s="662">
        <v>3764</v>
      </c>
      <c r="Q34" s="662">
        <v>3426</v>
      </c>
      <c r="R34" s="662">
        <v>3687</v>
      </c>
      <c r="S34" s="662">
        <v>3007</v>
      </c>
      <c r="T34" s="662">
        <v>2271</v>
      </c>
      <c r="U34" s="662">
        <v>2336</v>
      </c>
      <c r="V34" s="662">
        <v>1804</v>
      </c>
      <c r="W34" s="662">
        <v>2525</v>
      </c>
      <c r="X34" s="316">
        <v>210</v>
      </c>
    </row>
    <row r="35" spans="1:24" ht="24" customHeight="1">
      <c r="A35" s="667" t="s">
        <v>361</v>
      </c>
      <c r="B35" s="991" t="s">
        <v>362</v>
      </c>
      <c r="C35" s="991"/>
      <c r="D35" s="992">
        <f>SUM(F35:X35)</f>
        <v>100</v>
      </c>
      <c r="E35" s="992"/>
      <c r="F35" s="659">
        <f>F36/$D$36*100</f>
        <v>6.0429651936410114</v>
      </c>
      <c r="G35" s="659">
        <f t="shared" ref="G35:L35" si="13">G36/$D$36*100</f>
        <v>6.1331325723089849</v>
      </c>
      <c r="H35" s="659">
        <f t="shared" si="13"/>
        <v>6.1287555150920934</v>
      </c>
      <c r="I35" s="659">
        <f t="shared" si="13"/>
        <v>6.04384060508439</v>
      </c>
      <c r="J35" s="659">
        <f t="shared" si="13"/>
        <v>5.1097765949996505</v>
      </c>
      <c r="K35" s="659">
        <f t="shared" si="13"/>
        <v>5.6569087471111423</v>
      </c>
      <c r="L35" s="659">
        <f t="shared" si="13"/>
        <v>6.4736676237831778</v>
      </c>
      <c r="M35" s="92">
        <f>M36/$D$36</f>
        <v>0</v>
      </c>
      <c r="N35" s="659">
        <f>N36/$D$36*100</f>
        <v>6.9603963863015625</v>
      </c>
      <c r="O35" s="659">
        <f t="shared" ref="O35:X35" si="14">O36/$D$36*100</f>
        <v>8.0765459766090064</v>
      </c>
      <c r="P35" s="659">
        <f t="shared" si="14"/>
        <v>6.9989144898102111</v>
      </c>
      <c r="Q35" s="659">
        <f t="shared" si="14"/>
        <v>6.307339449541284</v>
      </c>
      <c r="R35" s="659">
        <f t="shared" si="14"/>
        <v>5.8004762238251972</v>
      </c>
      <c r="S35" s="659">
        <f t="shared" si="14"/>
        <v>6.1497653897331741</v>
      </c>
      <c r="T35" s="659">
        <f t="shared" si="14"/>
        <v>5.1325372925274877</v>
      </c>
      <c r="U35" s="659">
        <f t="shared" si="14"/>
        <v>3.6741018278590936</v>
      </c>
      <c r="V35" s="659">
        <f t="shared" si="14"/>
        <v>3.5909377407381466</v>
      </c>
      <c r="W35" s="659">
        <f t="shared" si="14"/>
        <v>4.6519364101127527</v>
      </c>
      <c r="X35" s="660">
        <f t="shared" si="14"/>
        <v>1.0680019609216331</v>
      </c>
    </row>
    <row r="36" spans="1:24" ht="24" customHeight="1">
      <c r="A36" s="658" t="s">
        <v>363</v>
      </c>
      <c r="B36" s="993" t="s">
        <v>364</v>
      </c>
      <c r="C36" s="993"/>
      <c r="D36" s="994">
        <f t="shared" si="2"/>
        <v>114232</v>
      </c>
      <c r="E36" s="994"/>
      <c r="F36" s="93">
        <f t="shared" ref="F36:L36" si="15">SUM(F37:F38)</f>
        <v>6903</v>
      </c>
      <c r="G36" s="661">
        <f t="shared" si="15"/>
        <v>7006</v>
      </c>
      <c r="H36" s="661">
        <f t="shared" si="15"/>
        <v>7001</v>
      </c>
      <c r="I36" s="661">
        <f t="shared" si="15"/>
        <v>6904</v>
      </c>
      <c r="J36" s="661">
        <f t="shared" si="15"/>
        <v>5837</v>
      </c>
      <c r="K36" s="661">
        <f t="shared" si="15"/>
        <v>6462</v>
      </c>
      <c r="L36" s="661">
        <f t="shared" si="15"/>
        <v>7395</v>
      </c>
      <c r="M36" s="661"/>
      <c r="N36" s="661">
        <f t="shared" ref="N36:X36" si="16">SUM(N37:N38)</f>
        <v>7951</v>
      </c>
      <c r="O36" s="661">
        <f t="shared" si="16"/>
        <v>9226</v>
      </c>
      <c r="P36" s="661">
        <f t="shared" si="16"/>
        <v>7995</v>
      </c>
      <c r="Q36" s="661">
        <f t="shared" si="16"/>
        <v>7205</v>
      </c>
      <c r="R36" s="661">
        <f t="shared" si="16"/>
        <v>6626</v>
      </c>
      <c r="S36" s="661">
        <f t="shared" si="16"/>
        <v>7025</v>
      </c>
      <c r="T36" s="661">
        <f t="shared" si="16"/>
        <v>5863</v>
      </c>
      <c r="U36" s="661">
        <f t="shared" si="16"/>
        <v>4197</v>
      </c>
      <c r="V36" s="661">
        <f t="shared" si="16"/>
        <v>4102</v>
      </c>
      <c r="W36" s="661">
        <f t="shared" si="16"/>
        <v>5314</v>
      </c>
      <c r="X36" s="164">
        <f t="shared" si="16"/>
        <v>1220</v>
      </c>
    </row>
    <row r="37" spans="1:24" ht="24" customHeight="1">
      <c r="A37" s="185" t="s">
        <v>673</v>
      </c>
      <c r="B37" s="973" t="s">
        <v>21</v>
      </c>
      <c r="C37" s="973"/>
      <c r="D37" s="988">
        <v>55471</v>
      </c>
      <c r="E37" s="988"/>
      <c r="F37" s="662">
        <v>3447</v>
      </c>
      <c r="G37" s="662">
        <v>3572</v>
      </c>
      <c r="H37" s="662">
        <v>3623</v>
      </c>
      <c r="I37" s="662">
        <v>3504</v>
      </c>
      <c r="J37" s="662">
        <v>2909</v>
      </c>
      <c r="K37" s="662">
        <v>3200</v>
      </c>
      <c r="L37" s="662">
        <v>3568</v>
      </c>
      <c r="M37" s="662"/>
      <c r="N37" s="662">
        <v>3836</v>
      </c>
      <c r="O37" s="662">
        <v>4533</v>
      </c>
      <c r="P37" s="662">
        <v>3878</v>
      </c>
      <c r="Q37" s="662">
        <v>3463</v>
      </c>
      <c r="R37" s="662">
        <v>3288</v>
      </c>
      <c r="S37" s="662">
        <v>3374</v>
      </c>
      <c r="T37" s="662">
        <v>2883</v>
      </c>
      <c r="U37" s="662">
        <v>1973</v>
      </c>
      <c r="V37" s="662">
        <v>1881</v>
      </c>
      <c r="W37" s="662">
        <v>1912</v>
      </c>
      <c r="X37" s="155">
        <v>627</v>
      </c>
    </row>
    <row r="38" spans="1:24" ht="24" customHeight="1" thickBot="1">
      <c r="A38" s="196" t="s">
        <v>365</v>
      </c>
      <c r="B38" s="970" t="s">
        <v>22</v>
      </c>
      <c r="C38" s="970"/>
      <c r="D38" s="990">
        <v>58761</v>
      </c>
      <c r="E38" s="990"/>
      <c r="F38" s="664">
        <v>3456</v>
      </c>
      <c r="G38" s="664">
        <v>3434</v>
      </c>
      <c r="H38" s="664">
        <v>3378</v>
      </c>
      <c r="I38" s="664">
        <v>3400</v>
      </c>
      <c r="J38" s="664">
        <v>2928</v>
      </c>
      <c r="K38" s="664">
        <v>3262</v>
      </c>
      <c r="L38" s="664">
        <v>3827</v>
      </c>
      <c r="M38" s="664"/>
      <c r="N38" s="664">
        <v>4115</v>
      </c>
      <c r="O38" s="664">
        <v>4693</v>
      </c>
      <c r="P38" s="664">
        <v>4117</v>
      </c>
      <c r="Q38" s="664">
        <v>3742</v>
      </c>
      <c r="R38" s="664">
        <v>3338</v>
      </c>
      <c r="S38" s="664">
        <v>3651</v>
      </c>
      <c r="T38" s="664">
        <v>2980</v>
      </c>
      <c r="U38" s="664">
        <v>2224</v>
      </c>
      <c r="V38" s="664">
        <v>2221</v>
      </c>
      <c r="W38" s="664">
        <v>3402</v>
      </c>
      <c r="X38" s="197">
        <v>593</v>
      </c>
    </row>
    <row r="39" spans="1:24" ht="16.5" customHeight="1">
      <c r="W39" s="386"/>
      <c r="X39" s="387" t="s">
        <v>663</v>
      </c>
    </row>
  </sheetData>
  <sheetProtection selectLockedCells="1" selectUnlockedCells="1"/>
  <mergeCells count="90">
    <mergeCell ref="B29:C29"/>
    <mergeCell ref="D29:E29"/>
    <mergeCell ref="B38:C38"/>
    <mergeCell ref="D38:E38"/>
    <mergeCell ref="B35:C35"/>
    <mergeCell ref="D35:E35"/>
    <mergeCell ref="B36:C36"/>
    <mergeCell ref="D36:E36"/>
    <mergeCell ref="B37:C37"/>
    <mergeCell ref="D37:E37"/>
    <mergeCell ref="B34:C34"/>
    <mergeCell ref="D34:E34"/>
    <mergeCell ref="B30:C30"/>
    <mergeCell ref="D30:E30"/>
    <mergeCell ref="B33:C33"/>
    <mergeCell ref="D33:E33"/>
    <mergeCell ref="B31:C31"/>
    <mergeCell ref="D31:E31"/>
    <mergeCell ref="B32:C32"/>
    <mergeCell ref="D32:E32"/>
    <mergeCell ref="U19:V19"/>
    <mergeCell ref="B26:C26"/>
    <mergeCell ref="B28:C28"/>
    <mergeCell ref="D28:E28"/>
    <mergeCell ref="B23:C23"/>
    <mergeCell ref="D23:E23"/>
    <mergeCell ref="B25:C25"/>
    <mergeCell ref="D25:E25"/>
    <mergeCell ref="B24:C24"/>
    <mergeCell ref="D26:E26"/>
    <mergeCell ref="D24:E24"/>
    <mergeCell ref="B27:C27"/>
    <mergeCell ref="D27:E27"/>
    <mergeCell ref="P15:Q15"/>
    <mergeCell ref="J16:K16"/>
    <mergeCell ref="A16:B16"/>
    <mergeCell ref="C9:E9"/>
    <mergeCell ref="G9:H9"/>
    <mergeCell ref="A10:B10"/>
    <mergeCell ref="P13:Q13"/>
    <mergeCell ref="D22:E22"/>
    <mergeCell ref="J14:K14"/>
    <mergeCell ref="C14:E14"/>
    <mergeCell ref="C16:E16"/>
    <mergeCell ref="G16:H16"/>
    <mergeCell ref="J12:K12"/>
    <mergeCell ref="A12:B12"/>
    <mergeCell ref="C12:E12"/>
    <mergeCell ref="A14:B14"/>
    <mergeCell ref="G14:H14"/>
    <mergeCell ref="C10:E10"/>
    <mergeCell ref="G10:H10"/>
    <mergeCell ref="C8:F8"/>
    <mergeCell ref="A7:B9"/>
    <mergeCell ref="C7:F7"/>
    <mergeCell ref="G7:I7"/>
    <mergeCell ref="N11:P11"/>
    <mergeCell ref="N10:P10"/>
    <mergeCell ref="J10:K10"/>
    <mergeCell ref="G12:H12"/>
    <mergeCell ref="G8:I8"/>
    <mergeCell ref="J9:K9"/>
    <mergeCell ref="N9:P9"/>
    <mergeCell ref="W9:X9"/>
    <mergeCell ref="W11:X11"/>
    <mergeCell ref="U11:V11"/>
    <mergeCell ref="W10:X10"/>
    <mergeCell ref="Q10:R10"/>
    <mergeCell ref="U10:V10"/>
    <mergeCell ref="S10:T10"/>
    <mergeCell ref="Q11:R11"/>
    <mergeCell ref="S11:T11"/>
    <mergeCell ref="Q9:R9"/>
    <mergeCell ref="U9:V9"/>
    <mergeCell ref="S9:T9"/>
    <mergeCell ref="U8:V8"/>
    <mergeCell ref="J8:L8"/>
    <mergeCell ref="N8:P8"/>
    <mergeCell ref="N1:X1"/>
    <mergeCell ref="Q7:R7"/>
    <mergeCell ref="S7:T7"/>
    <mergeCell ref="Q8:R8"/>
    <mergeCell ref="S8:T8"/>
    <mergeCell ref="W8:X8"/>
    <mergeCell ref="U7:V7"/>
    <mergeCell ref="W7:X7"/>
    <mergeCell ref="N4:X4"/>
    <mergeCell ref="A4:L5"/>
    <mergeCell ref="J7:L7"/>
    <mergeCell ref="N7:P7"/>
  </mergeCells>
  <phoneticPr fontId="19"/>
  <printOptions horizontalCentered="1"/>
  <pageMargins left="0.59055118110236227" right="0.59055118110236227" top="0.59055118110236227" bottom="0.59055118110236227" header="0.39370078740157483" footer="0.39370078740157483"/>
  <pageSetup paperSize="9" firstPageNumber="0" orientation="portrait" r:id="rId1"/>
  <headerFooter scaleWithDoc="0" alignWithMargins="0">
    <oddHeader>&amp;R&amp;"ＭＳ 明朝,標準"&amp;10人　口</oddHeader>
    <oddFooter>&amp;C&amp;"ＭＳ 明朝,標準"&amp;12&amp;A</oddFooter>
  </headerFooter>
  <colBreaks count="1" manualBreakCount="1">
    <brk id="13"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view="pageBreakPreview" topLeftCell="C1" zoomScaleNormal="100" zoomScaleSheetLayoutView="100" workbookViewId="0">
      <selection activeCell="N11" sqref="N11:O11"/>
    </sheetView>
  </sheetViews>
  <sheetFormatPr defaultRowHeight="18.95" customHeight="1"/>
  <cols>
    <col min="1" max="2" width="9.625" style="6" customWidth="1"/>
    <col min="3" max="8" width="11.875" style="6" customWidth="1"/>
    <col min="9" max="9" width="0.875" style="6" customWidth="1"/>
    <col min="10" max="10" width="10.875" style="6" customWidth="1"/>
    <col min="11" max="17" width="11.375" style="6" customWidth="1"/>
    <col min="18" max="16384" width="9" style="6"/>
  </cols>
  <sheetData>
    <row r="1" spans="1:17" ht="5.0999999999999996" customHeight="1">
      <c r="A1" s="48"/>
      <c r="B1" s="5"/>
      <c r="J1" s="956"/>
      <c r="K1" s="956"/>
      <c r="L1" s="956"/>
      <c r="M1" s="956"/>
      <c r="N1" s="956"/>
      <c r="O1" s="956"/>
      <c r="P1" s="956"/>
      <c r="Q1" s="956"/>
    </row>
    <row r="2" spans="1:17" ht="15" customHeight="1">
      <c r="A2" s="48" t="s">
        <v>366</v>
      </c>
      <c r="B2" s="5"/>
      <c r="J2" s="52"/>
      <c r="K2" s="52"/>
      <c r="L2" s="52"/>
      <c r="M2" s="52"/>
      <c r="N2" s="52"/>
      <c r="O2" s="52"/>
      <c r="P2" s="52"/>
      <c r="Q2" s="52"/>
    </row>
    <row r="3" spans="1:17" ht="5.0999999999999996" customHeight="1">
      <c r="A3" s="48"/>
      <c r="B3" s="5"/>
      <c r="J3" s="52"/>
      <c r="K3" s="52"/>
      <c r="L3" s="52"/>
      <c r="M3" s="52"/>
      <c r="N3" s="52"/>
      <c r="O3" s="52"/>
      <c r="P3" s="52"/>
      <c r="Q3" s="52"/>
    </row>
    <row r="4" spans="1:17" s="82" customFormat="1" ht="48.75" customHeight="1">
      <c r="A4" s="1049" t="s">
        <v>729</v>
      </c>
      <c r="B4" s="1049"/>
      <c r="C4" s="1049"/>
      <c r="D4" s="1049"/>
      <c r="E4" s="1049"/>
      <c r="F4" s="1049"/>
      <c r="G4" s="1049"/>
      <c r="H4" s="1049"/>
      <c r="I4" s="94"/>
      <c r="J4" s="987" t="s">
        <v>730</v>
      </c>
      <c r="K4" s="987"/>
      <c r="L4" s="987"/>
      <c r="M4" s="987"/>
      <c r="N4" s="987"/>
      <c r="O4" s="987"/>
      <c r="P4" s="987"/>
      <c r="Q4" s="987"/>
    </row>
    <row r="5" spans="1:17" ht="15" customHeight="1">
      <c r="A5" s="5"/>
      <c r="J5" s="956"/>
      <c r="K5" s="956"/>
      <c r="L5" s="956"/>
      <c r="M5" s="956"/>
      <c r="N5" s="956"/>
      <c r="O5" s="956"/>
      <c r="P5" s="956"/>
      <c r="Q5" s="956"/>
    </row>
    <row r="6" spans="1:17" ht="15" customHeight="1" thickBot="1">
      <c r="A6" s="5" t="s">
        <v>367</v>
      </c>
      <c r="J6" s="1"/>
      <c r="K6" s="1"/>
      <c r="L6" s="1"/>
      <c r="M6" s="1"/>
      <c r="N6" s="1"/>
      <c r="O6" s="1"/>
      <c r="P6" s="1"/>
      <c r="Q6" s="7" t="s">
        <v>368</v>
      </c>
    </row>
    <row r="7" spans="1:17" ht="15" customHeight="1">
      <c r="A7" s="1051" t="s">
        <v>451</v>
      </c>
      <c r="B7" s="983"/>
      <c r="C7" s="933" t="s">
        <v>452</v>
      </c>
      <c r="D7" s="933"/>
      <c r="E7" s="933"/>
      <c r="F7" s="933"/>
      <c r="G7" s="1053" t="s">
        <v>593</v>
      </c>
      <c r="H7" s="1054"/>
      <c r="I7" s="466" t="s">
        <v>477</v>
      </c>
      <c r="J7" s="983" t="s">
        <v>549</v>
      </c>
      <c r="K7" s="981" t="s">
        <v>251</v>
      </c>
      <c r="L7" s="982" t="s">
        <v>453</v>
      </c>
      <c r="M7" s="983"/>
      <c r="N7" s="981" t="s">
        <v>369</v>
      </c>
      <c r="O7" s="981"/>
      <c r="P7" s="981" t="s">
        <v>370</v>
      </c>
      <c r="Q7" s="1062"/>
    </row>
    <row r="8" spans="1:17" ht="15" customHeight="1">
      <c r="A8" s="978"/>
      <c r="B8" s="998"/>
      <c r="C8" s="935"/>
      <c r="D8" s="935"/>
      <c r="E8" s="935"/>
      <c r="F8" s="935"/>
      <c r="G8" s="1055"/>
      <c r="H8" s="1056"/>
      <c r="I8" s="467"/>
      <c r="J8" s="985"/>
      <c r="K8" s="1057"/>
      <c r="L8" s="979"/>
      <c r="M8" s="998"/>
      <c r="N8" s="1060" t="s">
        <v>455</v>
      </c>
      <c r="O8" s="1061"/>
      <c r="P8" s="1063" t="s">
        <v>454</v>
      </c>
      <c r="Q8" s="1064"/>
    </row>
    <row r="9" spans="1:17" ht="24.95" customHeight="1">
      <c r="A9" s="1052"/>
      <c r="B9" s="985"/>
      <c r="C9" s="935" t="s">
        <v>693</v>
      </c>
      <c r="D9" s="935"/>
      <c r="E9" s="935" t="s">
        <v>694</v>
      </c>
      <c r="F9" s="935"/>
      <c r="G9" s="912" t="s">
        <v>592</v>
      </c>
      <c r="H9" s="912"/>
      <c r="I9" s="785"/>
      <c r="J9" s="788" t="s">
        <v>371</v>
      </c>
      <c r="K9" s="789" t="s">
        <v>372</v>
      </c>
      <c r="L9" s="26" t="s">
        <v>373</v>
      </c>
      <c r="M9" s="95"/>
      <c r="N9" s="984" t="s">
        <v>374</v>
      </c>
      <c r="O9" s="985"/>
      <c r="P9" s="1058" t="s">
        <v>375</v>
      </c>
      <c r="Q9" s="1059"/>
    </row>
    <row r="10" spans="1:17" ht="24.95" customHeight="1">
      <c r="A10" s="1065" t="s">
        <v>376</v>
      </c>
      <c r="B10" s="1066"/>
      <c r="C10" s="1050">
        <v>930751</v>
      </c>
      <c r="D10" s="1050"/>
      <c r="E10" s="1050">
        <v>971772</v>
      </c>
      <c r="F10" s="1050"/>
      <c r="G10" s="1050">
        <f>E10-C10</f>
        <v>41021</v>
      </c>
      <c r="H10" s="1050"/>
      <c r="I10" s="96"/>
      <c r="J10" s="792">
        <f>G10/C10*100</f>
        <v>4.4073012008582317</v>
      </c>
      <c r="K10" s="481">
        <v>134.19</v>
      </c>
      <c r="L10" s="989">
        <f>E10/K10</f>
        <v>7241.7616811983007</v>
      </c>
      <c r="M10" s="989"/>
      <c r="N10" s="1076">
        <f>(E10/1433566)*100</f>
        <v>67.787042940471522</v>
      </c>
      <c r="O10" s="1076"/>
      <c r="P10" s="1069">
        <f>(K10/2281.12)*100</f>
        <v>5.8826365995651262</v>
      </c>
      <c r="Q10" s="1070"/>
    </row>
    <row r="11" spans="1:17" ht="24.95" customHeight="1">
      <c r="A11" s="1045" t="s">
        <v>377</v>
      </c>
      <c r="B11" s="1046"/>
      <c r="C11" s="989">
        <v>314951</v>
      </c>
      <c r="D11" s="989"/>
      <c r="E11" s="989">
        <v>318151</v>
      </c>
      <c r="F11" s="989"/>
      <c r="G11" s="989">
        <f t="shared" ref="G11:G20" si="0">E11-C11</f>
        <v>3200</v>
      </c>
      <c r="H11" s="989"/>
      <c r="I11" s="96"/>
      <c r="J11" s="792">
        <f>G11/C11*100</f>
        <v>1.016031065149817</v>
      </c>
      <c r="K11" s="482">
        <v>38.4</v>
      </c>
      <c r="L11" s="989">
        <f>E11/K11</f>
        <v>8285.1822916666679</v>
      </c>
      <c r="M11" s="989"/>
      <c r="N11" s="1071">
        <f>(E11/319435)*100</f>
        <v>99.598040289886839</v>
      </c>
      <c r="O11" s="1071"/>
      <c r="P11" s="1069">
        <f>(K11/39.57)*100</f>
        <v>97.043214556482184</v>
      </c>
      <c r="Q11" s="1070"/>
    </row>
    <row r="12" spans="1:17" ht="24.95" customHeight="1">
      <c r="A12" s="1045" t="s">
        <v>212</v>
      </c>
      <c r="B12" s="1046"/>
      <c r="C12" s="989">
        <v>91119</v>
      </c>
      <c r="D12" s="989"/>
      <c r="E12" s="989">
        <v>95504</v>
      </c>
      <c r="F12" s="989"/>
      <c r="G12" s="989">
        <f t="shared" si="0"/>
        <v>4385</v>
      </c>
      <c r="H12" s="989"/>
      <c r="I12" s="96"/>
      <c r="J12" s="792">
        <f t="shared" ref="J12:J20" si="1">G12/C12*100</f>
        <v>4.8123881956562293</v>
      </c>
      <c r="K12" s="482">
        <v>12.69</v>
      </c>
      <c r="L12" s="989">
        <f>E12/K12</f>
        <v>7525.9259259259261</v>
      </c>
      <c r="M12" s="989"/>
      <c r="N12" s="1071">
        <f>(E12/96243)*100</f>
        <v>99.232151948713152</v>
      </c>
      <c r="O12" s="1071"/>
      <c r="P12" s="1069">
        <f>(K12/19.8)*100</f>
        <v>64.090909090909093</v>
      </c>
      <c r="Q12" s="1070"/>
    </row>
    <row r="13" spans="1:17" ht="24.95" customHeight="1">
      <c r="A13" s="1045" t="s">
        <v>378</v>
      </c>
      <c r="B13" s="1046"/>
      <c r="C13" s="989">
        <v>31229</v>
      </c>
      <c r="D13" s="989"/>
      <c r="E13" s="989">
        <v>31425</v>
      </c>
      <c r="F13" s="989"/>
      <c r="G13" s="928">
        <f>E13-C13</f>
        <v>196</v>
      </c>
      <c r="H13" s="928"/>
      <c r="I13" s="96"/>
      <c r="J13" s="792">
        <f t="shared" si="1"/>
        <v>0.62762176182394569</v>
      </c>
      <c r="K13" s="482">
        <v>5.15</v>
      </c>
      <c r="L13" s="989">
        <f t="shared" ref="L13:L19" si="2">E13/K13</f>
        <v>6101.9417475728151</v>
      </c>
      <c r="M13" s="989"/>
      <c r="N13" s="1071">
        <f>(E13/47564)*100</f>
        <v>66.068875620216971</v>
      </c>
      <c r="O13" s="1071"/>
      <c r="P13" s="1069">
        <f>(K13/229.34)*100</f>
        <v>2.2455742565623096</v>
      </c>
      <c r="Q13" s="1070"/>
    </row>
    <row r="14" spans="1:17" ht="24.95" customHeight="1">
      <c r="A14" s="1047" t="s">
        <v>379</v>
      </c>
      <c r="B14" s="1048"/>
      <c r="C14" s="997">
        <v>106447</v>
      </c>
      <c r="D14" s="997"/>
      <c r="E14" s="997">
        <v>111169</v>
      </c>
      <c r="F14" s="997"/>
      <c r="G14" s="997">
        <f t="shared" si="0"/>
        <v>4722</v>
      </c>
      <c r="H14" s="997"/>
      <c r="I14" s="97"/>
      <c r="J14" s="791">
        <f t="shared" si="1"/>
        <v>4.4360104089359025</v>
      </c>
      <c r="K14" s="483">
        <v>12.47</v>
      </c>
      <c r="L14" s="997">
        <f>E14/K14</f>
        <v>8914.915797914995</v>
      </c>
      <c r="M14" s="997"/>
      <c r="N14" s="1073">
        <f>(E14/114232)*100</f>
        <v>97.318614748931992</v>
      </c>
      <c r="O14" s="1073"/>
      <c r="P14" s="1074">
        <f>(K14/19.48)*100</f>
        <v>64.014373716632448</v>
      </c>
      <c r="Q14" s="1075"/>
    </row>
    <row r="15" spans="1:17" ht="24.95" customHeight="1">
      <c r="A15" s="1045" t="s">
        <v>380</v>
      </c>
      <c r="B15" s="1046"/>
      <c r="C15" s="989">
        <v>24500</v>
      </c>
      <c r="D15" s="989"/>
      <c r="E15" s="989">
        <v>25270</v>
      </c>
      <c r="F15" s="989"/>
      <c r="G15" s="989">
        <f t="shared" si="0"/>
        <v>770</v>
      </c>
      <c r="H15" s="989"/>
      <c r="I15" s="96"/>
      <c r="J15" s="792">
        <f t="shared" si="1"/>
        <v>3.1428571428571432</v>
      </c>
      <c r="K15" s="482">
        <v>4.5999999999999996</v>
      </c>
      <c r="L15" s="989">
        <v>5494</v>
      </c>
      <c r="M15" s="989"/>
      <c r="N15" s="1071">
        <f>(E15/61674)*100</f>
        <v>40.973505853357977</v>
      </c>
      <c r="O15" s="1071"/>
      <c r="P15" s="1069">
        <f>(K15/210.9)*100</f>
        <v>2.1811284969179705</v>
      </c>
      <c r="Q15" s="1070"/>
    </row>
    <row r="16" spans="1:17" ht="24.95" customHeight="1">
      <c r="A16" s="1045" t="s">
        <v>381</v>
      </c>
      <c r="B16" s="1046"/>
      <c r="C16" s="989">
        <v>32684</v>
      </c>
      <c r="D16" s="989"/>
      <c r="E16" s="989">
        <v>33830</v>
      </c>
      <c r="F16" s="989"/>
      <c r="G16" s="989">
        <f t="shared" si="0"/>
        <v>1146</v>
      </c>
      <c r="H16" s="989"/>
      <c r="I16" s="96"/>
      <c r="J16" s="792">
        <f t="shared" si="1"/>
        <v>3.5063027781177336</v>
      </c>
      <c r="K16" s="482">
        <v>6.39</v>
      </c>
      <c r="L16" s="989">
        <f t="shared" si="2"/>
        <v>5294.2097026604069</v>
      </c>
      <c r="M16" s="989"/>
      <c r="N16" s="1071">
        <f>(E16/58547)*100</f>
        <v>57.782636172647614</v>
      </c>
      <c r="O16" s="1071"/>
      <c r="P16" s="1069">
        <f>(K16/46.62)*100</f>
        <v>13.706563706563706</v>
      </c>
      <c r="Q16" s="1070"/>
    </row>
    <row r="17" spans="1:17" ht="24.95" customHeight="1">
      <c r="A17" s="1045" t="s">
        <v>382</v>
      </c>
      <c r="B17" s="1046"/>
      <c r="C17" s="989">
        <v>112748</v>
      </c>
      <c r="D17" s="989"/>
      <c r="E17" s="989">
        <v>122197</v>
      </c>
      <c r="F17" s="989"/>
      <c r="G17" s="989">
        <f t="shared" si="0"/>
        <v>9449</v>
      </c>
      <c r="H17" s="989"/>
      <c r="I17" s="98"/>
      <c r="J17" s="792">
        <f t="shared" si="1"/>
        <v>8.3806364636179804</v>
      </c>
      <c r="K17" s="482">
        <v>16.8</v>
      </c>
      <c r="L17" s="989">
        <f t="shared" si="2"/>
        <v>7273.6309523809523</v>
      </c>
      <c r="M17" s="989"/>
      <c r="N17" s="1071">
        <f>(E17/139279)*100</f>
        <v>87.73540878380804</v>
      </c>
      <c r="O17" s="1071"/>
      <c r="P17" s="1069">
        <f>(K17/49.72)*100</f>
        <v>33.789219629927594</v>
      </c>
      <c r="Q17" s="1070"/>
    </row>
    <row r="18" spans="1:17" ht="24.95" customHeight="1">
      <c r="A18" s="1045" t="s">
        <v>224</v>
      </c>
      <c r="B18" s="1046"/>
      <c r="C18" s="989">
        <v>37788</v>
      </c>
      <c r="D18" s="989"/>
      <c r="E18" s="989">
        <v>39139</v>
      </c>
      <c r="F18" s="989"/>
      <c r="G18" s="989">
        <f t="shared" si="0"/>
        <v>1351</v>
      </c>
      <c r="H18" s="989"/>
      <c r="I18" s="96"/>
      <c r="J18" s="792">
        <f t="shared" si="1"/>
        <v>3.5752090610775911</v>
      </c>
      <c r="K18" s="482">
        <v>4.57</v>
      </c>
      <c r="L18" s="989">
        <f t="shared" si="2"/>
        <v>8564.3326039387302</v>
      </c>
      <c r="M18" s="989"/>
      <c r="N18" s="1071">
        <f>(E18/61119)*100</f>
        <v>64.037369721363248</v>
      </c>
      <c r="O18" s="1071"/>
      <c r="P18" s="1069">
        <f>(K18/19.6)*100</f>
        <v>23.316326530612244</v>
      </c>
      <c r="Q18" s="1070"/>
    </row>
    <row r="19" spans="1:17" ht="24.95" customHeight="1">
      <c r="A19" s="1045" t="s">
        <v>208</v>
      </c>
      <c r="B19" s="1046"/>
      <c r="C19" s="989">
        <v>57375</v>
      </c>
      <c r="D19" s="989"/>
      <c r="E19" s="989">
        <v>59166</v>
      </c>
      <c r="F19" s="989"/>
      <c r="G19" s="989">
        <f t="shared" si="0"/>
        <v>1791</v>
      </c>
      <c r="H19" s="989"/>
      <c r="I19" s="96"/>
      <c r="J19" s="792">
        <f t="shared" si="1"/>
        <v>3.1215686274509804</v>
      </c>
      <c r="K19" s="482">
        <v>10.24</v>
      </c>
      <c r="L19" s="989">
        <f t="shared" si="2"/>
        <v>5777.9296875</v>
      </c>
      <c r="M19" s="989"/>
      <c r="N19" s="1071">
        <f>(E19/118898)*100</f>
        <v>49.761980857541758</v>
      </c>
      <c r="O19" s="1071"/>
      <c r="P19" s="1069">
        <f>(K19/87.01)*100</f>
        <v>11.768762211240087</v>
      </c>
      <c r="Q19" s="1070"/>
    </row>
    <row r="20" spans="1:17" ht="24.95" customHeight="1" thickBot="1">
      <c r="A20" s="1041" t="s">
        <v>210</v>
      </c>
      <c r="B20" s="1042"/>
      <c r="C20" s="1043">
        <v>17176</v>
      </c>
      <c r="D20" s="1043"/>
      <c r="E20" s="1043">
        <v>17314</v>
      </c>
      <c r="F20" s="1043"/>
      <c r="G20" s="1043">
        <f t="shared" si="0"/>
        <v>138</v>
      </c>
      <c r="H20" s="1043"/>
      <c r="I20" s="142"/>
      <c r="J20" s="794">
        <f t="shared" si="1"/>
        <v>0.80344666977177448</v>
      </c>
      <c r="K20" s="484">
        <v>3.63</v>
      </c>
      <c r="L20" s="1043">
        <f>E20/K20</f>
        <v>4769.69696969697</v>
      </c>
      <c r="M20" s="1043"/>
      <c r="N20" s="1072">
        <f>(E20/51186)*100</f>
        <v>33.825655452662836</v>
      </c>
      <c r="O20" s="1072"/>
      <c r="P20" s="1067">
        <f>(K20/204.2)*100</f>
        <v>1.7776689520078355</v>
      </c>
      <c r="Q20" s="1068"/>
    </row>
    <row r="21" spans="1:17" ht="15" customHeight="1">
      <c r="A21" s="5" t="s">
        <v>383</v>
      </c>
      <c r="J21" s="1"/>
      <c r="K21" s="1"/>
      <c r="L21" s="1"/>
      <c r="M21" s="1"/>
      <c r="N21" s="1"/>
      <c r="Q21" s="7" t="s">
        <v>663</v>
      </c>
    </row>
    <row r="22" spans="1:17" ht="15" customHeight="1">
      <c r="J22" s="1"/>
      <c r="K22" s="1"/>
      <c r="L22" s="1"/>
      <c r="M22" s="1"/>
      <c r="N22" s="1"/>
      <c r="O22" s="1"/>
      <c r="P22" s="1"/>
    </row>
    <row r="23" spans="1:17" ht="15" customHeight="1" thickBot="1">
      <c r="A23" s="5" t="s">
        <v>15</v>
      </c>
      <c r="J23" s="1"/>
      <c r="K23" s="1"/>
      <c r="L23" s="1"/>
      <c r="M23" s="1"/>
      <c r="N23" s="1"/>
      <c r="O23" s="1"/>
      <c r="P23" s="1"/>
      <c r="Q23" s="7" t="s">
        <v>28</v>
      </c>
    </row>
    <row r="24" spans="1:17" ht="15" customHeight="1">
      <c r="A24" s="146"/>
      <c r="B24" s="147"/>
      <c r="C24" s="981" t="s">
        <v>386</v>
      </c>
      <c r="D24" s="933" t="s">
        <v>384</v>
      </c>
      <c r="E24" s="933"/>
      <c r="F24" s="933"/>
      <c r="G24" s="933"/>
      <c r="H24" s="148"/>
      <c r="I24" s="149"/>
      <c r="J24" s="953" t="s">
        <v>385</v>
      </c>
      <c r="K24" s="953"/>
      <c r="L24" s="953"/>
      <c r="M24" s="953"/>
      <c r="N24" s="953"/>
      <c r="O24" s="953"/>
      <c r="P24" s="953"/>
      <c r="Q24" s="150"/>
    </row>
    <row r="25" spans="1:17" ht="15" customHeight="1">
      <c r="A25" s="151"/>
      <c r="B25" s="100"/>
      <c r="C25" s="973"/>
      <c r="D25" s="935"/>
      <c r="E25" s="935"/>
      <c r="F25" s="935"/>
      <c r="G25" s="935"/>
      <c r="H25" s="10"/>
      <c r="I25" s="786"/>
      <c r="J25" s="913"/>
      <c r="K25" s="913"/>
      <c r="L25" s="913"/>
      <c r="M25" s="913"/>
      <c r="N25" s="913"/>
      <c r="O25" s="913"/>
      <c r="P25" s="913"/>
      <c r="Q25" s="683" t="s">
        <v>305</v>
      </c>
    </row>
    <row r="26" spans="1:17" ht="24.95" customHeight="1">
      <c r="A26" s="152"/>
      <c r="B26" s="101"/>
      <c r="C26" s="1017"/>
      <c r="D26" s="9" t="s">
        <v>349</v>
      </c>
      <c r="E26" s="9" t="s">
        <v>350</v>
      </c>
      <c r="F26" s="9" t="s">
        <v>351</v>
      </c>
      <c r="G26" s="9" t="s">
        <v>352</v>
      </c>
      <c r="H26" s="160" t="s">
        <v>387</v>
      </c>
      <c r="I26" s="389"/>
      <c r="J26" s="785" t="s">
        <v>353</v>
      </c>
      <c r="K26" s="787" t="s">
        <v>299</v>
      </c>
      <c r="L26" s="787" t="s">
        <v>300</v>
      </c>
      <c r="M26" s="787" t="s">
        <v>301</v>
      </c>
      <c r="N26" s="787" t="s">
        <v>302</v>
      </c>
      <c r="O26" s="787" t="s">
        <v>303</v>
      </c>
      <c r="P26" s="787" t="s">
        <v>304</v>
      </c>
      <c r="Q26" s="793"/>
    </row>
    <row r="27" spans="1:17" ht="21" customHeight="1">
      <c r="A27" s="153"/>
      <c r="B27" s="99"/>
      <c r="C27" s="70"/>
      <c r="D27" s="60"/>
      <c r="E27" s="102"/>
      <c r="F27" s="60"/>
      <c r="G27" s="60"/>
      <c r="H27" s="29"/>
      <c r="I27" s="529"/>
      <c r="J27" s="60"/>
      <c r="K27" s="60"/>
      <c r="L27" s="60"/>
      <c r="M27" s="60"/>
      <c r="N27" s="60"/>
      <c r="O27" s="60"/>
      <c r="P27" s="60"/>
      <c r="Q27" s="154"/>
    </row>
    <row r="28" spans="1:17" ht="24.95" customHeight="1">
      <c r="A28" s="972" t="s">
        <v>388</v>
      </c>
      <c r="B28" s="973"/>
      <c r="C28" s="23">
        <f>SUM(D28,H28,Q28)</f>
        <v>971772</v>
      </c>
      <c r="D28" s="2">
        <f>SUM(E28:G28)</f>
        <v>170707</v>
      </c>
      <c r="E28" s="377">
        <v>57182</v>
      </c>
      <c r="F28" s="377">
        <v>56960</v>
      </c>
      <c r="G28" s="377">
        <v>56565</v>
      </c>
      <c r="H28" s="2">
        <f>SUM(J28:P28)</f>
        <v>611231</v>
      </c>
      <c r="I28" s="790"/>
      <c r="J28" s="377">
        <v>55878</v>
      </c>
      <c r="K28" s="377">
        <v>49416</v>
      </c>
      <c r="L28" s="377">
        <v>55155</v>
      </c>
      <c r="M28" s="377">
        <v>62634</v>
      </c>
      <c r="N28" s="377">
        <v>143008</v>
      </c>
      <c r="O28" s="377">
        <v>124511</v>
      </c>
      <c r="P28" s="377">
        <v>120629</v>
      </c>
      <c r="Q28" s="378">
        <v>189834</v>
      </c>
    </row>
    <row r="29" spans="1:17" ht="21" customHeight="1">
      <c r="A29" s="279"/>
      <c r="B29" s="376"/>
      <c r="C29" s="3"/>
      <c r="D29" s="2"/>
      <c r="E29" s="2"/>
      <c r="F29" s="2"/>
      <c r="G29" s="2"/>
      <c r="H29" s="2"/>
      <c r="I29" s="790"/>
      <c r="J29" s="790"/>
      <c r="L29" s="790"/>
      <c r="M29" s="790"/>
      <c r="N29" s="790"/>
      <c r="O29" s="790"/>
      <c r="P29" s="790"/>
      <c r="Q29" s="379"/>
    </row>
    <row r="30" spans="1:17" ht="21" customHeight="1">
      <c r="A30" s="279"/>
      <c r="B30" s="376"/>
      <c r="C30" s="3"/>
      <c r="D30" s="2"/>
      <c r="E30" s="2"/>
      <c r="F30" s="2"/>
      <c r="G30" s="2"/>
      <c r="H30" s="2"/>
      <c r="I30" s="790"/>
      <c r="J30" s="790"/>
      <c r="L30" s="790"/>
      <c r="M30" s="790"/>
      <c r="N30" s="790"/>
      <c r="O30" s="790"/>
      <c r="P30" s="790"/>
      <c r="Q30" s="155"/>
    </row>
    <row r="31" spans="1:17" ht="24.95" customHeight="1">
      <c r="A31" s="978" t="s">
        <v>389</v>
      </c>
      <c r="B31" s="1044"/>
      <c r="C31" s="3">
        <f>SUM(D31,H31,Q31)</f>
        <v>853165</v>
      </c>
      <c r="D31" s="2">
        <f>SUM(E31:G31)</f>
        <v>148037</v>
      </c>
      <c r="E31" s="377">
        <v>49325</v>
      </c>
      <c r="F31" s="377">
        <v>49385</v>
      </c>
      <c r="G31" s="377">
        <v>49327</v>
      </c>
      <c r="H31" s="2">
        <f>SUM(J31:P31)</f>
        <v>537842</v>
      </c>
      <c r="I31" s="790"/>
      <c r="J31" s="377">
        <v>49069</v>
      </c>
      <c r="K31" s="790">
        <v>43576</v>
      </c>
      <c r="L31" s="377">
        <v>48397</v>
      </c>
      <c r="M31" s="377">
        <v>54803</v>
      </c>
      <c r="N31" s="377">
        <v>125719</v>
      </c>
      <c r="O31" s="377">
        <v>110442</v>
      </c>
      <c r="P31" s="377">
        <v>105836</v>
      </c>
      <c r="Q31" s="378">
        <v>167286</v>
      </c>
    </row>
    <row r="32" spans="1:17" ht="21" customHeight="1">
      <c r="A32" s="279"/>
      <c r="B32" s="375"/>
      <c r="C32" s="23"/>
      <c r="D32" s="2"/>
      <c r="E32" s="2"/>
      <c r="F32" s="2"/>
      <c r="G32" s="2"/>
      <c r="H32" s="2"/>
      <c r="I32" s="790"/>
      <c r="J32" s="103"/>
      <c r="K32" s="103"/>
      <c r="L32" s="103"/>
      <c r="M32" s="103"/>
      <c r="N32" s="103"/>
      <c r="O32" s="103"/>
      <c r="P32" s="103"/>
      <c r="Q32" s="381"/>
    </row>
    <row r="33" spans="1:17" ht="21" customHeight="1">
      <c r="A33" s="279"/>
      <c r="B33" s="375"/>
      <c r="C33" s="23"/>
      <c r="D33" s="2"/>
      <c r="E33" s="2"/>
      <c r="F33" s="2"/>
      <c r="G33" s="2"/>
      <c r="H33" s="2"/>
      <c r="I33" s="790"/>
      <c r="J33" s="790"/>
      <c r="K33" s="790"/>
      <c r="L33" s="790"/>
      <c r="M33" s="790"/>
      <c r="N33" s="790"/>
      <c r="O33" s="790"/>
      <c r="P33" s="790"/>
      <c r="Q33" s="155"/>
    </row>
    <row r="34" spans="1:17" ht="24.95" customHeight="1">
      <c r="A34" s="972" t="s">
        <v>390</v>
      </c>
      <c r="B34" s="973"/>
      <c r="C34" s="23">
        <f>SUM(D34,H34,Q34)</f>
        <v>118607</v>
      </c>
      <c r="D34" s="2">
        <f>SUM(E34:G34)</f>
        <v>22670</v>
      </c>
      <c r="E34" s="377">
        <v>7857</v>
      </c>
      <c r="F34" s="377">
        <v>7575</v>
      </c>
      <c r="G34" s="377">
        <v>7238</v>
      </c>
      <c r="H34" s="2">
        <f>SUM(J34:P34)</f>
        <v>73389</v>
      </c>
      <c r="I34" s="790"/>
      <c r="J34" s="377">
        <v>6809</v>
      </c>
      <c r="K34" s="790">
        <v>5840</v>
      </c>
      <c r="L34" s="377">
        <v>6758</v>
      </c>
      <c r="M34" s="377">
        <v>7831</v>
      </c>
      <c r="N34" s="377">
        <v>17289</v>
      </c>
      <c r="O34" s="377">
        <v>14069</v>
      </c>
      <c r="P34" s="377">
        <v>14793</v>
      </c>
      <c r="Q34" s="378">
        <v>22548</v>
      </c>
    </row>
    <row r="35" spans="1:17" ht="21" customHeight="1" thickBot="1">
      <c r="A35" s="156"/>
      <c r="B35" s="157"/>
      <c r="C35" s="158"/>
      <c r="D35" s="145"/>
      <c r="E35" s="145"/>
      <c r="F35" s="145"/>
      <c r="G35" s="145"/>
      <c r="H35" s="145"/>
      <c r="I35" s="795"/>
      <c r="J35" s="159"/>
      <c r="K35" s="159"/>
      <c r="L35" s="159"/>
      <c r="M35" s="159"/>
      <c r="N35" s="159"/>
      <c r="O35" s="159"/>
      <c r="P35" s="159"/>
      <c r="Q35" s="380"/>
    </row>
    <row r="36" spans="1:17" ht="15" customHeight="1">
      <c r="P36" s="5"/>
      <c r="Q36" s="7" t="s">
        <v>663</v>
      </c>
    </row>
    <row r="37" spans="1:17" ht="15" customHeight="1">
      <c r="A37" s="5" t="s">
        <v>391</v>
      </c>
    </row>
    <row r="38" spans="1:17" ht="15" customHeight="1">
      <c r="A38" s="5" t="s">
        <v>553</v>
      </c>
      <c r="J38" s="5" t="s">
        <v>392</v>
      </c>
    </row>
    <row r="39" spans="1:17" ht="15" customHeight="1">
      <c r="A39" s="5" t="s">
        <v>554</v>
      </c>
      <c r="J39" s="5" t="s">
        <v>393</v>
      </c>
    </row>
    <row r="40" spans="1:17" ht="15" customHeight="1">
      <c r="A40" s="5" t="s">
        <v>555</v>
      </c>
      <c r="J40" s="1"/>
      <c r="K40" s="1"/>
      <c r="L40" s="1"/>
      <c r="M40" s="1"/>
      <c r="N40" s="1"/>
      <c r="O40" s="1"/>
      <c r="P40" s="1"/>
    </row>
  </sheetData>
  <sheetProtection selectLockedCells="1" selectUnlockedCells="1"/>
  <mergeCells count="102">
    <mergeCell ref="P12:Q12"/>
    <mergeCell ref="N10:O10"/>
    <mergeCell ref="P13:Q13"/>
    <mergeCell ref="G14:H14"/>
    <mergeCell ref="L14:M14"/>
    <mergeCell ref="N14:O14"/>
    <mergeCell ref="L10:M10"/>
    <mergeCell ref="L12:M12"/>
    <mergeCell ref="L13:M13"/>
    <mergeCell ref="N11:O11"/>
    <mergeCell ref="A17:B17"/>
    <mergeCell ref="E17:F17"/>
    <mergeCell ref="C15:D15"/>
    <mergeCell ref="E15:F15"/>
    <mergeCell ref="G16:H16"/>
    <mergeCell ref="K7:K8"/>
    <mergeCell ref="L7:M8"/>
    <mergeCell ref="P9:Q9"/>
    <mergeCell ref="C11:D11"/>
    <mergeCell ref="E11:F11"/>
    <mergeCell ref="L11:M11"/>
    <mergeCell ref="C7:F8"/>
    <mergeCell ref="N7:O7"/>
    <mergeCell ref="N8:O8"/>
    <mergeCell ref="N9:O9"/>
    <mergeCell ref="G10:H10"/>
    <mergeCell ref="G11:H11"/>
    <mergeCell ref="P7:Q7"/>
    <mergeCell ref="P8:Q8"/>
    <mergeCell ref="P10:Q10"/>
    <mergeCell ref="P11:Q11"/>
    <mergeCell ref="A12:B12"/>
    <mergeCell ref="E9:F9"/>
    <mergeCell ref="A10:B10"/>
    <mergeCell ref="E13:F13"/>
    <mergeCell ref="G13:H13"/>
    <mergeCell ref="E12:F12"/>
    <mergeCell ref="G12:H12"/>
    <mergeCell ref="N15:O15"/>
    <mergeCell ref="N13:O13"/>
    <mergeCell ref="N12:O12"/>
    <mergeCell ref="J1:Q1"/>
    <mergeCell ref="A4:H4"/>
    <mergeCell ref="J4:Q4"/>
    <mergeCell ref="J5:Q5"/>
    <mergeCell ref="A11:B11"/>
    <mergeCell ref="A13:B13"/>
    <mergeCell ref="C13:D13"/>
    <mergeCell ref="C12:D12"/>
    <mergeCell ref="G15:H15"/>
    <mergeCell ref="A15:B15"/>
    <mergeCell ref="C9:D9"/>
    <mergeCell ref="E10:F10"/>
    <mergeCell ref="C10:D10"/>
    <mergeCell ref="A7:B9"/>
    <mergeCell ref="J7:J8"/>
    <mergeCell ref="G7:H8"/>
    <mergeCell ref="G9:H9"/>
    <mergeCell ref="A14:B14"/>
    <mergeCell ref="C14:D14"/>
    <mergeCell ref="E14:F14"/>
    <mergeCell ref="P15:Q15"/>
    <mergeCell ref="P14:Q14"/>
    <mergeCell ref="L16:M16"/>
    <mergeCell ref="N16:O16"/>
    <mergeCell ref="L15:M15"/>
    <mergeCell ref="P20:Q20"/>
    <mergeCell ref="N20:O20"/>
    <mergeCell ref="P18:Q18"/>
    <mergeCell ref="N19:O19"/>
    <mergeCell ref="P17:Q17"/>
    <mergeCell ref="P16:Q16"/>
    <mergeCell ref="N18:O18"/>
    <mergeCell ref="L17:M17"/>
    <mergeCell ref="N17:O17"/>
    <mergeCell ref="G18:H18"/>
    <mergeCell ref="G17:H17"/>
    <mergeCell ref="A16:B16"/>
    <mergeCell ref="C16:D16"/>
    <mergeCell ref="E16:F16"/>
    <mergeCell ref="C17:D17"/>
    <mergeCell ref="A18:B18"/>
    <mergeCell ref="A34:B34"/>
    <mergeCell ref="A20:B20"/>
    <mergeCell ref="C20:D20"/>
    <mergeCell ref="A28:B28"/>
    <mergeCell ref="A31:B31"/>
    <mergeCell ref="D24:G25"/>
    <mergeCell ref="E20:F20"/>
    <mergeCell ref="G20:H20"/>
    <mergeCell ref="L18:M18"/>
    <mergeCell ref="J24:P25"/>
    <mergeCell ref="P19:Q19"/>
    <mergeCell ref="L20:M20"/>
    <mergeCell ref="A19:B19"/>
    <mergeCell ref="C19:D19"/>
    <mergeCell ref="E19:F19"/>
    <mergeCell ref="G19:H19"/>
    <mergeCell ref="L19:M19"/>
    <mergeCell ref="C18:D18"/>
    <mergeCell ref="E18:F18"/>
    <mergeCell ref="C24:C26"/>
  </mergeCells>
  <phoneticPr fontId="19"/>
  <printOptions horizontalCentered="1"/>
  <pageMargins left="0.59055118110236227" right="0.59055118110236227" top="0.59055118110236227" bottom="0.59055118110236227" header="0.39370078740157483" footer="0.39370078740157483"/>
  <pageSetup paperSize="9" firstPageNumber="0" orientation="portrait" r:id="rId1"/>
  <headerFooter scaleWithDoc="0" alignWithMargins="0">
    <oddHeader>&amp;L&amp;"ＭＳ 明朝,標準"&amp;10人　口</oddHeader>
    <oddFooter>&amp;C&amp;"ＭＳ 明朝,標準"&amp;12&amp;A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view="pageBreakPreview" topLeftCell="A24" zoomScaleNormal="100" zoomScaleSheetLayoutView="100" workbookViewId="0">
      <pane xSplit="2" topLeftCell="E1" activePane="topRight" state="frozen"/>
      <selection activeCell="I243" sqref="I243"/>
      <selection pane="topRight" activeCell="K41" sqref="K41"/>
    </sheetView>
  </sheetViews>
  <sheetFormatPr defaultRowHeight="18.95" customHeight="1"/>
  <cols>
    <col min="1" max="2" width="9.625" style="6" customWidth="1"/>
    <col min="3" max="3" width="15.125" style="6" customWidth="1"/>
    <col min="4" max="8" width="11.375" style="6" customWidth="1"/>
    <col min="9" max="9" width="0.875" style="6" customWidth="1"/>
    <col min="10" max="10" width="10.875" style="6" customWidth="1"/>
    <col min="11" max="17" width="11.375" style="6" customWidth="1"/>
    <col min="18" max="16384" width="9" style="6"/>
  </cols>
  <sheetData>
    <row r="1" spans="1:17" ht="5.0999999999999996" customHeight="1">
      <c r="A1" s="48"/>
      <c r="B1" s="5"/>
      <c r="J1" s="956"/>
      <c r="K1" s="956"/>
      <c r="L1" s="956"/>
      <c r="M1" s="956"/>
      <c r="N1" s="956"/>
      <c r="O1" s="956"/>
      <c r="P1" s="956"/>
      <c r="Q1" s="956"/>
    </row>
    <row r="2" spans="1:17" ht="15" customHeight="1">
      <c r="A2" s="48" t="s">
        <v>366</v>
      </c>
      <c r="B2" s="5"/>
      <c r="J2" s="52"/>
      <c r="K2" s="52"/>
      <c r="L2" s="52"/>
      <c r="M2" s="52"/>
      <c r="N2" s="52"/>
      <c r="O2" s="52"/>
      <c r="P2" s="52"/>
      <c r="Q2" s="52"/>
    </row>
    <row r="3" spans="1:17" ht="5.0999999999999996" customHeight="1">
      <c r="A3" s="48"/>
      <c r="B3" s="5"/>
      <c r="J3" s="52"/>
      <c r="K3" s="52"/>
      <c r="L3" s="52"/>
      <c r="M3" s="52"/>
      <c r="N3" s="52"/>
      <c r="O3" s="52"/>
      <c r="P3" s="52"/>
      <c r="Q3" s="52"/>
    </row>
    <row r="4" spans="1:17" s="82" customFormat="1" ht="49.5" customHeight="1">
      <c r="A4" s="1049" t="s">
        <v>729</v>
      </c>
      <c r="B4" s="1049"/>
      <c r="C4" s="1049"/>
      <c r="D4" s="1049"/>
      <c r="E4" s="1049"/>
      <c r="F4" s="1049"/>
      <c r="G4" s="1049"/>
      <c r="H4" s="1049"/>
      <c r="I4" s="94"/>
      <c r="J4" s="987" t="s">
        <v>730</v>
      </c>
      <c r="K4" s="987"/>
      <c r="L4" s="987"/>
      <c r="M4" s="987"/>
      <c r="N4" s="987"/>
      <c r="O4" s="987"/>
      <c r="P4" s="987"/>
      <c r="Q4" s="987"/>
    </row>
    <row r="5" spans="1:17" ht="15" customHeight="1">
      <c r="A5" s="5"/>
      <c r="J5" s="956"/>
      <c r="K5" s="956"/>
      <c r="L5" s="956"/>
      <c r="M5" s="956"/>
      <c r="N5" s="956"/>
      <c r="O5" s="956"/>
      <c r="P5" s="956"/>
      <c r="Q5" s="956"/>
    </row>
    <row r="6" spans="1:17" ht="15" customHeight="1" thickBot="1">
      <c r="A6" s="5" t="s">
        <v>367</v>
      </c>
      <c r="J6" s="1"/>
      <c r="K6" s="1"/>
      <c r="L6" s="1"/>
      <c r="M6" s="1"/>
      <c r="N6" s="1"/>
      <c r="O6" s="1"/>
      <c r="P6" s="1"/>
      <c r="Q6" s="7" t="s">
        <v>368</v>
      </c>
    </row>
    <row r="7" spans="1:17" ht="15" customHeight="1">
      <c r="A7" s="1051" t="s">
        <v>451</v>
      </c>
      <c r="B7" s="983"/>
      <c r="C7" s="933" t="s">
        <v>452</v>
      </c>
      <c r="D7" s="933"/>
      <c r="E7" s="933"/>
      <c r="F7" s="933"/>
      <c r="G7" s="1053" t="s">
        <v>593</v>
      </c>
      <c r="H7" s="1054"/>
      <c r="I7" s="466" t="s">
        <v>477</v>
      </c>
      <c r="J7" s="983" t="s">
        <v>549</v>
      </c>
      <c r="K7" s="981" t="s">
        <v>251</v>
      </c>
      <c r="L7" s="982" t="s">
        <v>453</v>
      </c>
      <c r="M7" s="983"/>
      <c r="N7" s="981" t="s">
        <v>369</v>
      </c>
      <c r="O7" s="981"/>
      <c r="P7" s="981" t="s">
        <v>370</v>
      </c>
      <c r="Q7" s="1062"/>
    </row>
    <row r="8" spans="1:17" ht="15" customHeight="1">
      <c r="A8" s="978"/>
      <c r="B8" s="998"/>
      <c r="C8" s="935"/>
      <c r="D8" s="935"/>
      <c r="E8" s="935"/>
      <c r="F8" s="935"/>
      <c r="G8" s="1055"/>
      <c r="H8" s="1056"/>
      <c r="I8" s="467"/>
      <c r="J8" s="985"/>
      <c r="K8" s="1057"/>
      <c r="L8" s="979"/>
      <c r="M8" s="998"/>
      <c r="N8" s="1060" t="s">
        <v>455</v>
      </c>
      <c r="O8" s="1061"/>
      <c r="P8" s="1063" t="s">
        <v>454</v>
      </c>
      <c r="Q8" s="1064"/>
    </row>
    <row r="9" spans="1:17" ht="24.95" customHeight="1">
      <c r="A9" s="1052"/>
      <c r="B9" s="985"/>
      <c r="C9" s="935" t="s">
        <v>693</v>
      </c>
      <c r="D9" s="935"/>
      <c r="E9" s="935" t="s">
        <v>694</v>
      </c>
      <c r="F9" s="935"/>
      <c r="G9" s="912" t="s">
        <v>591</v>
      </c>
      <c r="H9" s="912"/>
      <c r="I9" s="674"/>
      <c r="J9" s="671" t="s">
        <v>371</v>
      </c>
      <c r="K9" s="676" t="s">
        <v>372</v>
      </c>
      <c r="L9" s="26" t="s">
        <v>373</v>
      </c>
      <c r="M9" s="95"/>
      <c r="N9" s="984" t="s">
        <v>374</v>
      </c>
      <c r="O9" s="985"/>
      <c r="P9" s="1058" t="s">
        <v>375</v>
      </c>
      <c r="Q9" s="1059"/>
    </row>
    <row r="10" spans="1:17" ht="24.95" customHeight="1">
      <c r="A10" s="1065" t="s">
        <v>376</v>
      </c>
      <c r="B10" s="1066"/>
      <c r="C10" s="1050">
        <v>930751</v>
      </c>
      <c r="D10" s="1050"/>
      <c r="E10" s="1050">
        <v>971772</v>
      </c>
      <c r="F10" s="1050"/>
      <c r="G10" s="1050">
        <f>E10-C10</f>
        <v>41021</v>
      </c>
      <c r="H10" s="1050"/>
      <c r="I10" s="96"/>
      <c r="J10" s="680">
        <f>G10/C10*100</f>
        <v>4.4073012008582317</v>
      </c>
      <c r="K10" s="481">
        <v>134.19</v>
      </c>
      <c r="L10" s="989">
        <f>E10/K10</f>
        <v>7241.7616811983007</v>
      </c>
      <c r="M10" s="989"/>
      <c r="N10" s="1076">
        <f>(E10/1433566)*100</f>
        <v>67.787042940471522</v>
      </c>
      <c r="O10" s="1076"/>
      <c r="P10" s="1069">
        <f>(K10/2281.12)*100</f>
        <v>5.8826365995651262</v>
      </c>
      <c r="Q10" s="1070"/>
    </row>
    <row r="11" spans="1:17" ht="24.95" customHeight="1">
      <c r="A11" s="1045" t="s">
        <v>377</v>
      </c>
      <c r="B11" s="1046"/>
      <c r="C11" s="989">
        <v>314951</v>
      </c>
      <c r="D11" s="989"/>
      <c r="E11" s="989">
        <v>318151</v>
      </c>
      <c r="F11" s="989"/>
      <c r="G11" s="989">
        <f t="shared" ref="G11:G20" si="0">E11-C11</f>
        <v>3200</v>
      </c>
      <c r="H11" s="989"/>
      <c r="I11" s="96"/>
      <c r="J11" s="680">
        <f>G11/C11*100</f>
        <v>1.016031065149817</v>
      </c>
      <c r="K11" s="482">
        <v>38.4</v>
      </c>
      <c r="L11" s="989">
        <f>E11/K11</f>
        <v>8285.1822916666679</v>
      </c>
      <c r="M11" s="989"/>
      <c r="N11" s="1071">
        <f>(E11/319435)*100</f>
        <v>99.598040289886839</v>
      </c>
      <c r="O11" s="1071"/>
      <c r="P11" s="1069">
        <f>(K11/39.57)*100</f>
        <v>97.043214556482184</v>
      </c>
      <c r="Q11" s="1070"/>
    </row>
    <row r="12" spans="1:17" ht="24.95" customHeight="1">
      <c r="A12" s="1045" t="s">
        <v>212</v>
      </c>
      <c r="B12" s="1046"/>
      <c r="C12" s="989">
        <v>91119</v>
      </c>
      <c r="D12" s="989"/>
      <c r="E12" s="989">
        <v>95504</v>
      </c>
      <c r="F12" s="989"/>
      <c r="G12" s="989">
        <f t="shared" si="0"/>
        <v>4385</v>
      </c>
      <c r="H12" s="989"/>
      <c r="I12" s="96"/>
      <c r="J12" s="680">
        <f t="shared" ref="J12:J20" si="1">G12/C12*100</f>
        <v>4.8123881956562293</v>
      </c>
      <c r="K12" s="482">
        <v>12.69</v>
      </c>
      <c r="L12" s="989">
        <f>E12/K12</f>
        <v>7525.9259259259261</v>
      </c>
      <c r="M12" s="989"/>
      <c r="N12" s="1071">
        <f>(E12/96243)*100</f>
        <v>99.232151948713152</v>
      </c>
      <c r="O12" s="1071"/>
      <c r="P12" s="1069">
        <f>(K12/19.8)*100</f>
        <v>64.090909090909093</v>
      </c>
      <c r="Q12" s="1070"/>
    </row>
    <row r="13" spans="1:17" ht="24.95" customHeight="1">
      <c r="A13" s="1045" t="s">
        <v>378</v>
      </c>
      <c r="B13" s="1046"/>
      <c r="C13" s="989">
        <v>31229</v>
      </c>
      <c r="D13" s="989"/>
      <c r="E13" s="989">
        <v>31425</v>
      </c>
      <c r="F13" s="989"/>
      <c r="G13" s="928">
        <f>E13-C13</f>
        <v>196</v>
      </c>
      <c r="H13" s="928"/>
      <c r="I13" s="96"/>
      <c r="J13" s="708">
        <f t="shared" si="1"/>
        <v>0.62762176182394569</v>
      </c>
      <c r="K13" s="482">
        <v>5.15</v>
      </c>
      <c r="L13" s="989">
        <f t="shared" ref="L13:L19" si="2">E13/K13</f>
        <v>6101.9417475728151</v>
      </c>
      <c r="M13" s="989"/>
      <c r="N13" s="1071">
        <f>(E13/47564)*100</f>
        <v>66.068875620216971</v>
      </c>
      <c r="O13" s="1071"/>
      <c r="P13" s="1069">
        <f>(K13/229.34)*100</f>
        <v>2.2455742565623096</v>
      </c>
      <c r="Q13" s="1070"/>
    </row>
    <row r="14" spans="1:17" ht="24.95" customHeight="1">
      <c r="A14" s="1047" t="s">
        <v>379</v>
      </c>
      <c r="B14" s="1048"/>
      <c r="C14" s="997">
        <v>106447</v>
      </c>
      <c r="D14" s="997"/>
      <c r="E14" s="997">
        <v>111169</v>
      </c>
      <c r="F14" s="997"/>
      <c r="G14" s="997">
        <f t="shared" si="0"/>
        <v>4722</v>
      </c>
      <c r="H14" s="997"/>
      <c r="I14" s="97"/>
      <c r="J14" s="682">
        <f t="shared" si="1"/>
        <v>4.4360104089359025</v>
      </c>
      <c r="K14" s="483">
        <v>12.47</v>
      </c>
      <c r="L14" s="997">
        <f>E14/K14</f>
        <v>8914.915797914995</v>
      </c>
      <c r="M14" s="997"/>
      <c r="N14" s="1073">
        <f>(E14/114232)*100</f>
        <v>97.318614748931992</v>
      </c>
      <c r="O14" s="1073"/>
      <c r="P14" s="1074">
        <f>(K14/19.48)*100</f>
        <v>64.014373716632448</v>
      </c>
      <c r="Q14" s="1075"/>
    </row>
    <row r="15" spans="1:17" ht="24.95" customHeight="1">
      <c r="A15" s="1045" t="s">
        <v>380</v>
      </c>
      <c r="B15" s="1046"/>
      <c r="C15" s="989">
        <v>24500</v>
      </c>
      <c r="D15" s="989"/>
      <c r="E15" s="989">
        <v>25270</v>
      </c>
      <c r="F15" s="989"/>
      <c r="G15" s="989">
        <f t="shared" si="0"/>
        <v>770</v>
      </c>
      <c r="H15" s="989"/>
      <c r="I15" s="96"/>
      <c r="J15" s="680">
        <f t="shared" si="1"/>
        <v>3.1428571428571432</v>
      </c>
      <c r="K15" s="482">
        <v>4.5999999999999996</v>
      </c>
      <c r="L15" s="989">
        <v>5494</v>
      </c>
      <c r="M15" s="989"/>
      <c r="N15" s="1071">
        <f>(E15/61674)*100</f>
        <v>40.973505853357977</v>
      </c>
      <c r="O15" s="1071"/>
      <c r="P15" s="1069">
        <f>(K15/210.9)*100</f>
        <v>2.1811284969179705</v>
      </c>
      <c r="Q15" s="1070"/>
    </row>
    <row r="16" spans="1:17" ht="24.95" customHeight="1">
      <c r="A16" s="1045" t="s">
        <v>381</v>
      </c>
      <c r="B16" s="1046"/>
      <c r="C16" s="989">
        <v>32684</v>
      </c>
      <c r="D16" s="989"/>
      <c r="E16" s="989">
        <v>33830</v>
      </c>
      <c r="F16" s="989"/>
      <c r="G16" s="989">
        <f t="shared" si="0"/>
        <v>1146</v>
      </c>
      <c r="H16" s="989"/>
      <c r="I16" s="96"/>
      <c r="J16" s="680">
        <f t="shared" si="1"/>
        <v>3.5063027781177336</v>
      </c>
      <c r="K16" s="482">
        <v>6.39</v>
      </c>
      <c r="L16" s="989">
        <f t="shared" si="2"/>
        <v>5294.2097026604069</v>
      </c>
      <c r="M16" s="989"/>
      <c r="N16" s="1071">
        <f>(E16/58547)*100</f>
        <v>57.782636172647614</v>
      </c>
      <c r="O16" s="1071"/>
      <c r="P16" s="1069">
        <f>(K16/46.62)*100</f>
        <v>13.706563706563706</v>
      </c>
      <c r="Q16" s="1070"/>
    </row>
    <row r="17" spans="1:17" ht="24.95" customHeight="1">
      <c r="A17" s="1045" t="s">
        <v>382</v>
      </c>
      <c r="B17" s="1046"/>
      <c r="C17" s="989">
        <v>112748</v>
      </c>
      <c r="D17" s="989"/>
      <c r="E17" s="989">
        <v>122197</v>
      </c>
      <c r="F17" s="989"/>
      <c r="G17" s="989">
        <f t="shared" si="0"/>
        <v>9449</v>
      </c>
      <c r="H17" s="989"/>
      <c r="I17" s="98"/>
      <c r="J17" s="680">
        <f t="shared" si="1"/>
        <v>8.3806364636179804</v>
      </c>
      <c r="K17" s="482">
        <v>16.8</v>
      </c>
      <c r="L17" s="989">
        <f t="shared" si="2"/>
        <v>7273.6309523809523</v>
      </c>
      <c r="M17" s="989"/>
      <c r="N17" s="1071">
        <f>(E17/139279)*100</f>
        <v>87.73540878380804</v>
      </c>
      <c r="O17" s="1071"/>
      <c r="P17" s="1069">
        <f>(K17/49.72)*100</f>
        <v>33.789219629927594</v>
      </c>
      <c r="Q17" s="1070"/>
    </row>
    <row r="18" spans="1:17" ht="24.95" customHeight="1">
      <c r="A18" s="1045" t="s">
        <v>224</v>
      </c>
      <c r="B18" s="1046"/>
      <c r="C18" s="989">
        <v>37788</v>
      </c>
      <c r="D18" s="989"/>
      <c r="E18" s="989">
        <v>39139</v>
      </c>
      <c r="F18" s="989"/>
      <c r="G18" s="989">
        <f t="shared" si="0"/>
        <v>1351</v>
      </c>
      <c r="H18" s="989"/>
      <c r="I18" s="96"/>
      <c r="J18" s="680">
        <f t="shared" si="1"/>
        <v>3.5752090610775911</v>
      </c>
      <c r="K18" s="482">
        <v>4.57</v>
      </c>
      <c r="L18" s="989">
        <f t="shared" si="2"/>
        <v>8564.3326039387302</v>
      </c>
      <c r="M18" s="989"/>
      <c r="N18" s="1071">
        <f>(E18/61119)*100</f>
        <v>64.037369721363248</v>
      </c>
      <c r="O18" s="1071"/>
      <c r="P18" s="1069">
        <f>(K18/19.6)*100</f>
        <v>23.316326530612244</v>
      </c>
      <c r="Q18" s="1070"/>
    </row>
    <row r="19" spans="1:17" ht="24.95" customHeight="1">
      <c r="A19" s="1045" t="s">
        <v>208</v>
      </c>
      <c r="B19" s="1046"/>
      <c r="C19" s="989">
        <v>57375</v>
      </c>
      <c r="D19" s="989"/>
      <c r="E19" s="989">
        <v>59166</v>
      </c>
      <c r="F19" s="989"/>
      <c r="G19" s="989">
        <f t="shared" si="0"/>
        <v>1791</v>
      </c>
      <c r="H19" s="989"/>
      <c r="I19" s="96"/>
      <c r="J19" s="680">
        <f t="shared" si="1"/>
        <v>3.1215686274509804</v>
      </c>
      <c r="K19" s="482">
        <v>10.24</v>
      </c>
      <c r="L19" s="989">
        <f t="shared" si="2"/>
        <v>5777.9296875</v>
      </c>
      <c r="M19" s="989"/>
      <c r="N19" s="1071">
        <f>(E19/118898)*100</f>
        <v>49.761980857541758</v>
      </c>
      <c r="O19" s="1071"/>
      <c r="P19" s="1069">
        <f>(K19/87.01)*100</f>
        <v>11.768762211240087</v>
      </c>
      <c r="Q19" s="1070"/>
    </row>
    <row r="20" spans="1:17" ht="24.95" customHeight="1" thickBot="1">
      <c r="A20" s="1041" t="s">
        <v>210</v>
      </c>
      <c r="B20" s="1042"/>
      <c r="C20" s="1043">
        <v>17176</v>
      </c>
      <c r="D20" s="1043"/>
      <c r="E20" s="1043">
        <v>17314</v>
      </c>
      <c r="F20" s="1043"/>
      <c r="G20" s="1043">
        <f t="shared" si="0"/>
        <v>138</v>
      </c>
      <c r="H20" s="1043"/>
      <c r="I20" s="142"/>
      <c r="J20" s="709">
        <f t="shared" si="1"/>
        <v>0.80344666977177448</v>
      </c>
      <c r="K20" s="484">
        <v>3.63</v>
      </c>
      <c r="L20" s="1043">
        <f>E20/K20</f>
        <v>4769.69696969697</v>
      </c>
      <c r="M20" s="1043"/>
      <c r="N20" s="1072">
        <f>(E20/51186)*100</f>
        <v>33.825655452662836</v>
      </c>
      <c r="O20" s="1072"/>
      <c r="P20" s="1067">
        <f>(K20/204.2)*100</f>
        <v>1.7776689520078355</v>
      </c>
      <c r="Q20" s="1068"/>
    </row>
    <row r="21" spans="1:17" ht="15" customHeight="1">
      <c r="A21" s="5" t="s">
        <v>383</v>
      </c>
      <c r="J21" s="1"/>
      <c r="K21" s="1"/>
      <c r="L21" s="1"/>
      <c r="M21" s="1"/>
      <c r="N21" s="1"/>
      <c r="Q21" s="7" t="s">
        <v>695</v>
      </c>
    </row>
    <row r="22" spans="1:17" ht="15" customHeight="1">
      <c r="J22" s="1"/>
      <c r="K22" s="1"/>
      <c r="L22" s="1"/>
      <c r="M22" s="1"/>
      <c r="N22" s="1"/>
      <c r="O22" s="1"/>
      <c r="P22" s="1"/>
    </row>
    <row r="23" spans="1:17" ht="15" customHeight="1" thickBot="1">
      <c r="A23" s="5" t="s">
        <v>15</v>
      </c>
      <c r="J23" s="1"/>
      <c r="K23" s="1"/>
      <c r="L23" s="1"/>
      <c r="M23" s="1"/>
      <c r="N23" s="1"/>
      <c r="O23" s="1"/>
      <c r="P23" s="1"/>
      <c r="Q23" s="7" t="s">
        <v>28</v>
      </c>
    </row>
    <row r="24" spans="1:17" ht="15" customHeight="1">
      <c r="A24" s="146"/>
      <c r="B24" s="147"/>
      <c r="C24" s="981" t="s">
        <v>386</v>
      </c>
      <c r="D24" s="933" t="s">
        <v>384</v>
      </c>
      <c r="E24" s="933"/>
      <c r="F24" s="933"/>
      <c r="G24" s="933"/>
      <c r="H24" s="148"/>
      <c r="I24" s="149"/>
      <c r="J24" s="953" t="s">
        <v>385</v>
      </c>
      <c r="K24" s="953"/>
      <c r="L24" s="953"/>
      <c r="M24" s="953"/>
      <c r="N24" s="953"/>
      <c r="O24" s="953"/>
      <c r="P24" s="953"/>
      <c r="Q24" s="150"/>
    </row>
    <row r="25" spans="1:17" ht="15" customHeight="1">
      <c r="A25" s="151"/>
      <c r="B25" s="100"/>
      <c r="C25" s="973"/>
      <c r="D25" s="935"/>
      <c r="E25" s="935"/>
      <c r="F25" s="935"/>
      <c r="G25" s="935"/>
      <c r="H25" s="675"/>
      <c r="I25" s="672"/>
      <c r="J25" s="913"/>
      <c r="K25" s="913"/>
      <c r="L25" s="913"/>
      <c r="M25" s="913"/>
      <c r="N25" s="913"/>
      <c r="O25" s="913"/>
      <c r="P25" s="913"/>
      <c r="Q25" s="683" t="s">
        <v>305</v>
      </c>
    </row>
    <row r="26" spans="1:17" ht="24.95" customHeight="1">
      <c r="A26" s="152"/>
      <c r="B26" s="101"/>
      <c r="C26" s="1017"/>
      <c r="D26" s="670" t="s">
        <v>349</v>
      </c>
      <c r="E26" s="670" t="s">
        <v>350</v>
      </c>
      <c r="F26" s="670" t="s">
        <v>351</v>
      </c>
      <c r="G26" s="670" t="s">
        <v>352</v>
      </c>
      <c r="H26" s="160" t="s">
        <v>387</v>
      </c>
      <c r="I26" s="389"/>
      <c r="J26" s="674" t="s">
        <v>353</v>
      </c>
      <c r="K26" s="670" t="s">
        <v>299</v>
      </c>
      <c r="L26" s="670" t="s">
        <v>300</v>
      </c>
      <c r="M26" s="670" t="s">
        <v>301</v>
      </c>
      <c r="N26" s="670" t="s">
        <v>302</v>
      </c>
      <c r="O26" s="670" t="s">
        <v>303</v>
      </c>
      <c r="P26" s="670" t="s">
        <v>304</v>
      </c>
      <c r="Q26" s="681"/>
    </row>
    <row r="27" spans="1:17" ht="21" customHeight="1">
      <c r="A27" s="153"/>
      <c r="B27" s="99"/>
      <c r="C27" s="70"/>
      <c r="D27" s="60"/>
      <c r="E27" s="687"/>
      <c r="F27" s="60"/>
      <c r="G27" s="60"/>
      <c r="H27" s="529"/>
      <c r="I27" s="529"/>
      <c r="J27" s="60"/>
      <c r="K27" s="60"/>
      <c r="L27" s="60"/>
      <c r="M27" s="60"/>
      <c r="N27" s="60"/>
      <c r="O27" s="60"/>
      <c r="P27" s="60"/>
      <c r="Q27" s="154"/>
    </row>
    <row r="28" spans="1:17" ht="24.95" customHeight="1">
      <c r="A28" s="972" t="s">
        <v>388</v>
      </c>
      <c r="B28" s="973"/>
      <c r="C28" s="23">
        <f>SUM(D28,H28,Q28)</f>
        <v>971772</v>
      </c>
      <c r="D28" s="677">
        <f>SUM(E28:G28)</f>
        <v>170707</v>
      </c>
      <c r="E28" s="377">
        <v>57182</v>
      </c>
      <c r="F28" s="377">
        <v>56960</v>
      </c>
      <c r="G28" s="377">
        <v>56565</v>
      </c>
      <c r="H28" s="677">
        <f>SUM(J28:P28)</f>
        <v>611231</v>
      </c>
      <c r="I28" s="677"/>
      <c r="J28" s="377">
        <v>55878</v>
      </c>
      <c r="K28" s="377">
        <v>49416</v>
      </c>
      <c r="L28" s="377">
        <v>55155</v>
      </c>
      <c r="M28" s="377">
        <v>62634</v>
      </c>
      <c r="N28" s="377">
        <v>143008</v>
      </c>
      <c r="O28" s="377">
        <v>124511</v>
      </c>
      <c r="P28" s="377">
        <v>120629</v>
      </c>
      <c r="Q28" s="378">
        <v>189834</v>
      </c>
    </row>
    <row r="29" spans="1:17" ht="21" customHeight="1">
      <c r="A29" s="684"/>
      <c r="B29" s="376"/>
      <c r="C29" s="673"/>
      <c r="D29" s="677"/>
      <c r="E29" s="677"/>
      <c r="F29" s="677"/>
      <c r="G29" s="677"/>
      <c r="H29" s="677"/>
      <c r="I29" s="677"/>
      <c r="J29" s="677"/>
      <c r="L29" s="677"/>
      <c r="M29" s="677"/>
      <c r="N29" s="677"/>
      <c r="O29" s="677"/>
      <c r="P29" s="677"/>
      <c r="Q29" s="379"/>
    </row>
    <row r="30" spans="1:17" ht="21" customHeight="1">
      <c r="A30" s="684"/>
      <c r="B30" s="376"/>
      <c r="C30" s="673"/>
      <c r="D30" s="677"/>
      <c r="E30" s="677"/>
      <c r="F30" s="677"/>
      <c r="G30" s="677"/>
      <c r="H30" s="677"/>
      <c r="I30" s="677"/>
      <c r="J30" s="677"/>
      <c r="L30" s="677"/>
      <c r="M30" s="677"/>
      <c r="N30" s="677"/>
      <c r="O30" s="677"/>
      <c r="P30" s="677"/>
      <c r="Q30" s="155"/>
    </row>
    <row r="31" spans="1:17" ht="24.95" customHeight="1">
      <c r="A31" s="978" t="s">
        <v>389</v>
      </c>
      <c r="B31" s="1044"/>
      <c r="C31" s="673">
        <f>SUM(D31,H31,Q31)</f>
        <v>853165</v>
      </c>
      <c r="D31" s="677">
        <f>SUM(E31:G31)</f>
        <v>148037</v>
      </c>
      <c r="E31" s="377">
        <v>49325</v>
      </c>
      <c r="F31" s="377">
        <v>49385</v>
      </c>
      <c r="G31" s="377">
        <v>49327</v>
      </c>
      <c r="H31" s="677">
        <f>SUM(J31:P31)</f>
        <v>537842</v>
      </c>
      <c r="I31" s="677"/>
      <c r="J31" s="377">
        <v>49069</v>
      </c>
      <c r="K31" s="677">
        <v>43576</v>
      </c>
      <c r="L31" s="377">
        <v>48397</v>
      </c>
      <c r="M31" s="377">
        <v>54803</v>
      </c>
      <c r="N31" s="377">
        <v>125719</v>
      </c>
      <c r="O31" s="377">
        <v>110442</v>
      </c>
      <c r="P31" s="377">
        <v>105836</v>
      </c>
      <c r="Q31" s="378">
        <v>167286</v>
      </c>
    </row>
    <row r="32" spans="1:17" ht="21" customHeight="1">
      <c r="A32" s="684"/>
      <c r="B32" s="375"/>
      <c r="C32" s="23"/>
      <c r="D32" s="677"/>
      <c r="E32" s="677"/>
      <c r="F32" s="677"/>
      <c r="G32" s="677"/>
      <c r="H32" s="677"/>
      <c r="I32" s="677"/>
      <c r="J32" s="103"/>
      <c r="K32" s="103"/>
      <c r="L32" s="103"/>
      <c r="M32" s="103"/>
      <c r="N32" s="103"/>
      <c r="O32" s="103"/>
      <c r="P32" s="103"/>
      <c r="Q32" s="381"/>
    </row>
    <row r="33" spans="1:17" ht="21" customHeight="1">
      <c r="A33" s="684"/>
      <c r="B33" s="375"/>
      <c r="C33" s="23"/>
      <c r="D33" s="677"/>
      <c r="E33" s="677"/>
      <c r="F33" s="677"/>
      <c r="G33" s="677"/>
      <c r="H33" s="677"/>
      <c r="I33" s="677"/>
      <c r="J33" s="677"/>
      <c r="K33" s="677"/>
      <c r="L33" s="677"/>
      <c r="M33" s="677"/>
      <c r="N33" s="677"/>
      <c r="O33" s="677"/>
      <c r="P33" s="677"/>
      <c r="Q33" s="155"/>
    </row>
    <row r="34" spans="1:17" ht="24.95" customHeight="1">
      <c r="A34" s="972" t="s">
        <v>390</v>
      </c>
      <c r="B34" s="973"/>
      <c r="C34" s="23">
        <f>SUM(D34,H34,Q34)</f>
        <v>118607</v>
      </c>
      <c r="D34" s="677">
        <f>SUM(E34:G34)</f>
        <v>22670</v>
      </c>
      <c r="E34" s="377">
        <v>7857</v>
      </c>
      <c r="F34" s="377">
        <v>7575</v>
      </c>
      <c r="G34" s="377">
        <v>7238</v>
      </c>
      <c r="H34" s="677">
        <f>SUM(J34:P34)</f>
        <v>73389</v>
      </c>
      <c r="I34" s="677"/>
      <c r="J34" s="377">
        <v>6809</v>
      </c>
      <c r="K34" s="677">
        <v>5840</v>
      </c>
      <c r="L34" s="377">
        <v>6758</v>
      </c>
      <c r="M34" s="377">
        <v>7831</v>
      </c>
      <c r="N34" s="377">
        <v>17289</v>
      </c>
      <c r="O34" s="377">
        <v>14069</v>
      </c>
      <c r="P34" s="377">
        <v>14793</v>
      </c>
      <c r="Q34" s="378">
        <v>22548</v>
      </c>
    </row>
    <row r="35" spans="1:17" ht="21" customHeight="1" thickBot="1">
      <c r="A35" s="156"/>
      <c r="B35" s="157"/>
      <c r="C35" s="678"/>
      <c r="D35" s="679"/>
      <c r="E35" s="679"/>
      <c r="F35" s="679"/>
      <c r="G35" s="679"/>
      <c r="H35" s="679"/>
      <c r="I35" s="679"/>
      <c r="J35" s="159"/>
      <c r="K35" s="159"/>
      <c r="L35" s="159"/>
      <c r="M35" s="159"/>
      <c r="N35" s="159"/>
      <c r="O35" s="159"/>
      <c r="P35" s="159"/>
      <c r="Q35" s="380"/>
    </row>
    <row r="36" spans="1:17" ht="15" customHeight="1">
      <c r="P36" s="5"/>
      <c r="Q36" s="7" t="s">
        <v>696</v>
      </c>
    </row>
    <row r="37" spans="1:17" ht="15" customHeight="1">
      <c r="A37" s="5" t="s">
        <v>391</v>
      </c>
    </row>
    <row r="38" spans="1:17" ht="15" customHeight="1">
      <c r="A38" s="5" t="s">
        <v>553</v>
      </c>
      <c r="J38" s="5" t="s">
        <v>392</v>
      </c>
    </row>
    <row r="39" spans="1:17" ht="15" customHeight="1">
      <c r="A39" s="5" t="s">
        <v>554</v>
      </c>
      <c r="J39" s="5" t="s">
        <v>393</v>
      </c>
    </row>
    <row r="40" spans="1:17" ht="15" customHeight="1">
      <c r="A40" s="5" t="s">
        <v>555</v>
      </c>
      <c r="J40" s="1"/>
      <c r="K40" s="1"/>
      <c r="L40" s="1"/>
      <c r="M40" s="1"/>
      <c r="N40" s="1"/>
      <c r="O40" s="1"/>
      <c r="P40" s="1"/>
    </row>
  </sheetData>
  <sheetProtection selectLockedCells="1" selectUnlockedCells="1"/>
  <mergeCells count="102">
    <mergeCell ref="J1:Q1"/>
    <mergeCell ref="L10:M10"/>
    <mergeCell ref="P13:Q13"/>
    <mergeCell ref="L12:M12"/>
    <mergeCell ref="L7:M8"/>
    <mergeCell ref="L13:M13"/>
    <mergeCell ref="N13:O13"/>
    <mergeCell ref="P12:Q12"/>
    <mergeCell ref="N12:O12"/>
    <mergeCell ref="J5:Q5"/>
    <mergeCell ref="N8:O8"/>
    <mergeCell ref="P10:Q10"/>
    <mergeCell ref="P9:Q9"/>
    <mergeCell ref="K7:K8"/>
    <mergeCell ref="N10:O10"/>
    <mergeCell ref="N11:O11"/>
    <mergeCell ref="L11:M11"/>
    <mergeCell ref="P11:Q11"/>
    <mergeCell ref="N7:O7"/>
    <mergeCell ref="P8:Q8"/>
    <mergeCell ref="N9:O9"/>
    <mergeCell ref="A4:H4"/>
    <mergeCell ref="P7:Q7"/>
    <mergeCell ref="G9:H9"/>
    <mergeCell ref="J7:J8"/>
    <mergeCell ref="J4:Q4"/>
    <mergeCell ref="G13:H13"/>
    <mergeCell ref="A7:B9"/>
    <mergeCell ref="A12:B12"/>
    <mergeCell ref="E12:F12"/>
    <mergeCell ref="C7:F8"/>
    <mergeCell ref="C12:D12"/>
    <mergeCell ref="C9:D9"/>
    <mergeCell ref="G12:H12"/>
    <mergeCell ref="A11:B11"/>
    <mergeCell ref="C11:D11"/>
    <mergeCell ref="E11:F11"/>
    <mergeCell ref="A10:B10"/>
    <mergeCell ref="E10:F10"/>
    <mergeCell ref="G11:H11"/>
    <mergeCell ref="G10:H10"/>
    <mergeCell ref="C10:D10"/>
    <mergeCell ref="E9:F9"/>
    <mergeCell ref="G7:H8"/>
    <mergeCell ref="P18:Q18"/>
    <mergeCell ref="E18:F18"/>
    <mergeCell ref="A18:B18"/>
    <mergeCell ref="C18:D18"/>
    <mergeCell ref="A16:B16"/>
    <mergeCell ref="C16:D16"/>
    <mergeCell ref="A17:B17"/>
    <mergeCell ref="C17:D17"/>
    <mergeCell ref="G17:H17"/>
    <mergeCell ref="G18:H18"/>
    <mergeCell ref="N17:O17"/>
    <mergeCell ref="L17:M17"/>
    <mergeCell ref="L16:M16"/>
    <mergeCell ref="G16:H16"/>
    <mergeCell ref="L18:M18"/>
    <mergeCell ref="N18:O18"/>
    <mergeCell ref="L14:M14"/>
    <mergeCell ref="N14:O14"/>
    <mergeCell ref="P14:Q14"/>
    <mergeCell ref="P16:Q16"/>
    <mergeCell ref="P15:Q15"/>
    <mergeCell ref="P17:Q17"/>
    <mergeCell ref="N16:O16"/>
    <mergeCell ref="E17:F17"/>
    <mergeCell ref="A13:B13"/>
    <mergeCell ref="C13:D13"/>
    <mergeCell ref="E13:F13"/>
    <mergeCell ref="E16:F16"/>
    <mergeCell ref="E14:F14"/>
    <mergeCell ref="C15:D15"/>
    <mergeCell ref="E15:F15"/>
    <mergeCell ref="A15:B15"/>
    <mergeCell ref="A14:B14"/>
    <mergeCell ref="C14:D14"/>
    <mergeCell ref="C24:C26"/>
    <mergeCell ref="P20:Q20"/>
    <mergeCell ref="G14:H14"/>
    <mergeCell ref="G15:H15"/>
    <mergeCell ref="A31:B31"/>
    <mergeCell ref="A34:B34"/>
    <mergeCell ref="A20:B20"/>
    <mergeCell ref="C20:D20"/>
    <mergeCell ref="D24:G25"/>
    <mergeCell ref="A28:B28"/>
    <mergeCell ref="A19:B19"/>
    <mergeCell ref="P19:Q19"/>
    <mergeCell ref="E19:F19"/>
    <mergeCell ref="G19:H19"/>
    <mergeCell ref="L19:M19"/>
    <mergeCell ref="N19:O19"/>
    <mergeCell ref="J24:P25"/>
    <mergeCell ref="E20:F20"/>
    <mergeCell ref="G20:H20"/>
    <mergeCell ref="L20:M20"/>
    <mergeCell ref="N20:O20"/>
    <mergeCell ref="C19:D19"/>
    <mergeCell ref="L15:M15"/>
    <mergeCell ref="N15:O15"/>
  </mergeCells>
  <phoneticPr fontId="19"/>
  <printOptions horizontalCentered="1"/>
  <pageMargins left="0.59055118110236227" right="0.59055118110236227" top="0.59055118110236227" bottom="0.59055118110236227" header="0.39370078740157483" footer="0.39370078740157483"/>
  <pageSetup paperSize="9" firstPageNumber="0" orientation="portrait" r:id="rId1"/>
  <headerFooter scaleWithDoc="0" alignWithMargins="0">
    <oddHeader>&amp;R&amp;"ＭＳ 明朝,標準"&amp;10人　口</oddHeader>
    <oddFooter>&amp;C&amp;"ＭＳ 明朝,標準"&amp;12&amp;A</oddFooter>
  </headerFooter>
  <colBreaks count="1" manualBreakCount="1">
    <brk id="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5529"/>
  <sheetViews>
    <sheetView view="pageBreakPreview" zoomScale="120" zoomScaleNormal="120" zoomScaleSheetLayoutView="120" workbookViewId="0">
      <selection activeCell="I243" sqref="I243"/>
    </sheetView>
  </sheetViews>
  <sheetFormatPr defaultRowHeight="5.0999999999999996" customHeight="1"/>
  <cols>
    <col min="1" max="1" width="15" style="386" customWidth="1"/>
    <col min="2" max="6" width="8.125" style="386" customWidth="1"/>
    <col min="7" max="8" width="7.375" style="386" customWidth="1"/>
    <col min="9" max="11" width="7.25" style="386" customWidth="1"/>
    <col min="12" max="16384" width="9" style="386"/>
  </cols>
  <sheetData>
    <row r="2" spans="1:12" ht="15" customHeight="1" thickBot="1">
      <c r="A2" s="5" t="s">
        <v>394</v>
      </c>
      <c r="J2" s="5"/>
      <c r="K2" s="7" t="s">
        <v>538</v>
      </c>
      <c r="L2" s="5"/>
    </row>
    <row r="3" spans="1:12" ht="24.95" customHeight="1">
      <c r="A3" s="1051" t="s">
        <v>478</v>
      </c>
      <c r="B3" s="983"/>
      <c r="C3" s="933" t="s">
        <v>395</v>
      </c>
      <c r="D3" s="933"/>
      <c r="E3" s="933"/>
      <c r="F3" s="933"/>
      <c r="G3" s="933"/>
      <c r="H3" s="933"/>
      <c r="I3" s="277" t="s">
        <v>396</v>
      </c>
      <c r="J3" s="277" t="s">
        <v>397</v>
      </c>
      <c r="K3" s="1080" t="s">
        <v>398</v>
      </c>
    </row>
    <row r="4" spans="1:12" ht="24.95" customHeight="1">
      <c r="A4" s="978"/>
      <c r="B4" s="998"/>
      <c r="C4" s="935"/>
      <c r="D4" s="935"/>
      <c r="E4" s="935"/>
      <c r="F4" s="935"/>
      <c r="G4" s="935"/>
      <c r="H4" s="935"/>
      <c r="I4" s="77" t="s">
        <v>399</v>
      </c>
      <c r="J4" s="77" t="s">
        <v>400</v>
      </c>
      <c r="K4" s="1081"/>
    </row>
    <row r="5" spans="1:12" ht="24.95" customHeight="1">
      <c r="A5" s="1052"/>
      <c r="B5" s="985"/>
      <c r="C5" s="486" t="s">
        <v>33</v>
      </c>
      <c r="D5" s="486" t="s">
        <v>401</v>
      </c>
      <c r="E5" s="486" t="s">
        <v>402</v>
      </c>
      <c r="F5" s="486" t="s">
        <v>403</v>
      </c>
      <c r="G5" s="486" t="s">
        <v>404</v>
      </c>
      <c r="H5" s="486" t="s">
        <v>405</v>
      </c>
      <c r="I5" s="78" t="s">
        <v>406</v>
      </c>
      <c r="J5" s="78" t="s">
        <v>407</v>
      </c>
      <c r="K5" s="278" t="s">
        <v>407</v>
      </c>
    </row>
    <row r="6" spans="1:12" ht="21" customHeight="1">
      <c r="A6" s="1036" t="s">
        <v>594</v>
      </c>
      <c r="B6" s="71" t="s">
        <v>603</v>
      </c>
      <c r="C6" s="198">
        <f>SUM(D6:H6)</f>
        <v>515195</v>
      </c>
      <c r="D6" s="677">
        <v>255305</v>
      </c>
      <c r="E6" s="677">
        <v>30445</v>
      </c>
      <c r="F6" s="677">
        <v>206929</v>
      </c>
      <c r="G6" s="677">
        <v>11335</v>
      </c>
      <c r="H6" s="677">
        <v>11181</v>
      </c>
      <c r="I6" s="677">
        <v>3989</v>
      </c>
      <c r="J6" s="686" t="s">
        <v>149</v>
      </c>
      <c r="K6" s="685" t="s">
        <v>149</v>
      </c>
    </row>
    <row r="7" spans="1:12" ht="21" customHeight="1">
      <c r="A7" s="978"/>
      <c r="B7" s="179" t="s">
        <v>697</v>
      </c>
      <c r="C7" s="488">
        <f>SUM(D7:H7)</f>
        <v>553464</v>
      </c>
      <c r="D7" s="492">
        <v>269257</v>
      </c>
      <c r="E7" s="492">
        <v>29704</v>
      </c>
      <c r="F7" s="492">
        <v>234084</v>
      </c>
      <c r="G7" s="492">
        <v>11040</v>
      </c>
      <c r="H7" s="492">
        <v>9379</v>
      </c>
      <c r="I7" s="492">
        <v>5741</v>
      </c>
      <c r="J7" s="496" t="s">
        <v>149</v>
      </c>
      <c r="K7" s="494" t="s">
        <v>149</v>
      </c>
    </row>
    <row r="8" spans="1:12" ht="20.100000000000001" customHeight="1">
      <c r="A8" s="1082"/>
      <c r="B8" s="1083"/>
      <c r="C8" s="488"/>
      <c r="D8" s="492"/>
      <c r="E8" s="492"/>
      <c r="F8" s="492"/>
      <c r="G8" s="492" t="s">
        <v>30</v>
      </c>
      <c r="H8" s="492" t="s">
        <v>30</v>
      </c>
      <c r="I8" s="492" t="s">
        <v>30</v>
      </c>
      <c r="J8" s="310" t="s">
        <v>30</v>
      </c>
      <c r="K8" s="311" t="s">
        <v>30</v>
      </c>
    </row>
    <row r="9" spans="1:12" ht="21" customHeight="1">
      <c r="A9" s="965" t="s">
        <v>377</v>
      </c>
      <c r="B9" s="1078"/>
      <c r="C9" s="488">
        <f>SUM(D9:H9)</f>
        <v>134410</v>
      </c>
      <c r="D9" s="492">
        <v>52475</v>
      </c>
      <c r="E9" s="492">
        <v>7805</v>
      </c>
      <c r="F9" s="492">
        <v>68261</v>
      </c>
      <c r="G9" s="492">
        <v>3351</v>
      </c>
      <c r="H9" s="492">
        <v>2518</v>
      </c>
      <c r="I9" s="492">
        <v>853</v>
      </c>
      <c r="J9" s="496" t="s">
        <v>149</v>
      </c>
      <c r="K9" s="494" t="s">
        <v>149</v>
      </c>
    </row>
    <row r="10" spans="1:12" ht="21" customHeight="1">
      <c r="A10" s="965" t="s">
        <v>212</v>
      </c>
      <c r="B10" s="1078"/>
      <c r="C10" s="488">
        <f t="shared" ref="C10:C18" si="0">SUM(D10:H10)</f>
        <v>39056</v>
      </c>
      <c r="D10" s="492">
        <v>15641</v>
      </c>
      <c r="E10" s="492">
        <v>966</v>
      </c>
      <c r="F10" s="492">
        <v>21460</v>
      </c>
      <c r="G10" s="492">
        <v>444</v>
      </c>
      <c r="H10" s="492">
        <v>545</v>
      </c>
      <c r="I10" s="492">
        <v>235</v>
      </c>
      <c r="J10" s="496" t="s">
        <v>149</v>
      </c>
      <c r="K10" s="494" t="s">
        <v>149</v>
      </c>
    </row>
    <row r="11" spans="1:12" ht="21" customHeight="1">
      <c r="A11" s="965" t="s">
        <v>378</v>
      </c>
      <c r="B11" s="1078"/>
      <c r="C11" s="488">
        <f t="shared" si="0"/>
        <v>20057</v>
      </c>
      <c r="D11" s="492">
        <v>8975</v>
      </c>
      <c r="E11" s="492">
        <v>1178</v>
      </c>
      <c r="F11" s="492">
        <v>8421</v>
      </c>
      <c r="G11" s="492">
        <v>1110</v>
      </c>
      <c r="H11" s="492">
        <v>373</v>
      </c>
      <c r="I11" s="492">
        <v>426</v>
      </c>
      <c r="J11" s="496" t="s">
        <v>149</v>
      </c>
      <c r="K11" s="494" t="s">
        <v>149</v>
      </c>
    </row>
    <row r="12" spans="1:12" ht="21" customHeight="1">
      <c r="A12" s="966" t="s">
        <v>379</v>
      </c>
      <c r="B12" s="1079"/>
      <c r="C12" s="489">
        <f t="shared" si="0"/>
        <v>43763</v>
      </c>
      <c r="D12" s="491">
        <v>18531</v>
      </c>
      <c r="E12" s="491">
        <v>1352</v>
      </c>
      <c r="F12" s="491">
        <v>22415</v>
      </c>
      <c r="G12" s="491">
        <v>714</v>
      </c>
      <c r="H12" s="491">
        <v>751</v>
      </c>
      <c r="I12" s="491">
        <v>198</v>
      </c>
      <c r="J12" s="496" t="s">
        <v>149</v>
      </c>
      <c r="K12" s="494" t="s">
        <v>149</v>
      </c>
    </row>
    <row r="13" spans="1:12" ht="21" customHeight="1">
      <c r="A13" s="965" t="s">
        <v>380</v>
      </c>
      <c r="B13" s="1078"/>
      <c r="C13" s="488">
        <f t="shared" si="0"/>
        <v>25700</v>
      </c>
      <c r="D13" s="492">
        <v>11132</v>
      </c>
      <c r="E13" s="492">
        <v>1741</v>
      </c>
      <c r="F13" s="492">
        <v>11873</v>
      </c>
      <c r="G13" s="492">
        <v>520</v>
      </c>
      <c r="H13" s="492">
        <v>434</v>
      </c>
      <c r="I13" s="492">
        <v>376</v>
      </c>
      <c r="J13" s="496" t="s">
        <v>149</v>
      </c>
      <c r="K13" s="494" t="s">
        <v>149</v>
      </c>
    </row>
    <row r="14" spans="1:12" ht="21" customHeight="1">
      <c r="A14" s="965" t="s">
        <v>381</v>
      </c>
      <c r="B14" s="1078"/>
      <c r="C14" s="488">
        <f t="shared" si="0"/>
        <v>20468</v>
      </c>
      <c r="D14" s="492">
        <v>10510</v>
      </c>
      <c r="E14" s="492">
        <v>1551</v>
      </c>
      <c r="F14" s="492">
        <v>7453</v>
      </c>
      <c r="G14" s="492">
        <v>740</v>
      </c>
      <c r="H14" s="492">
        <v>214</v>
      </c>
      <c r="I14" s="492">
        <v>113</v>
      </c>
      <c r="J14" s="496" t="s">
        <v>149</v>
      </c>
      <c r="K14" s="494" t="s">
        <v>149</v>
      </c>
    </row>
    <row r="15" spans="1:12" ht="21" customHeight="1">
      <c r="A15" s="965" t="s">
        <v>382</v>
      </c>
      <c r="B15" s="1078"/>
      <c r="C15" s="23">
        <f t="shared" si="0"/>
        <v>52841</v>
      </c>
      <c r="D15" s="485">
        <v>25485</v>
      </c>
      <c r="E15" s="492">
        <v>2803</v>
      </c>
      <c r="F15" s="492">
        <v>23183</v>
      </c>
      <c r="G15" s="492">
        <v>435</v>
      </c>
      <c r="H15" s="492">
        <v>935</v>
      </c>
      <c r="I15" s="492">
        <v>347</v>
      </c>
      <c r="J15" s="496" t="s">
        <v>149</v>
      </c>
      <c r="K15" s="494" t="s">
        <v>149</v>
      </c>
    </row>
    <row r="16" spans="1:12" ht="21" customHeight="1">
      <c r="A16" s="965" t="s">
        <v>224</v>
      </c>
      <c r="B16" s="1078"/>
      <c r="C16" s="488">
        <f t="shared" si="0"/>
        <v>21672</v>
      </c>
      <c r="D16" s="492">
        <v>10586</v>
      </c>
      <c r="E16" s="492">
        <v>1787</v>
      </c>
      <c r="F16" s="492">
        <v>8492</v>
      </c>
      <c r="G16" s="492">
        <v>578</v>
      </c>
      <c r="H16" s="492">
        <v>229</v>
      </c>
      <c r="I16" s="492">
        <v>81</v>
      </c>
      <c r="J16" s="496" t="s">
        <v>149</v>
      </c>
      <c r="K16" s="494" t="s">
        <v>149</v>
      </c>
    </row>
    <row r="17" spans="1:12" ht="21" customHeight="1">
      <c r="A17" s="965" t="s">
        <v>208</v>
      </c>
      <c r="B17" s="1078"/>
      <c r="C17" s="488">
        <f>SUM(D17:H17)</f>
        <v>41854</v>
      </c>
      <c r="D17" s="492">
        <v>24464</v>
      </c>
      <c r="E17" s="492">
        <v>1919</v>
      </c>
      <c r="F17" s="492">
        <v>14429</v>
      </c>
      <c r="G17" s="492">
        <v>393</v>
      </c>
      <c r="H17" s="492">
        <v>649</v>
      </c>
      <c r="I17" s="492">
        <v>415</v>
      </c>
      <c r="J17" s="496" t="s">
        <v>149</v>
      </c>
      <c r="K17" s="494" t="s">
        <v>149</v>
      </c>
    </row>
    <row r="18" spans="1:12" ht="21" customHeight="1" thickBot="1">
      <c r="A18" s="1041" t="s">
        <v>210</v>
      </c>
      <c r="B18" s="1042"/>
      <c r="C18" s="490">
        <f t="shared" si="0"/>
        <v>21608</v>
      </c>
      <c r="D18" s="493">
        <v>11956</v>
      </c>
      <c r="E18" s="493">
        <v>2265</v>
      </c>
      <c r="F18" s="493">
        <v>6586</v>
      </c>
      <c r="G18" s="493">
        <v>619</v>
      </c>
      <c r="H18" s="493">
        <v>182</v>
      </c>
      <c r="I18" s="493">
        <v>300</v>
      </c>
      <c r="J18" s="497" t="s">
        <v>149</v>
      </c>
      <c r="K18" s="495" t="s">
        <v>149</v>
      </c>
    </row>
    <row r="19" spans="1:12" ht="15" customHeight="1">
      <c r="A19" s="1077" t="s">
        <v>698</v>
      </c>
      <c r="B19" s="1077"/>
      <c r="C19" s="1077"/>
      <c r="D19" s="1077"/>
      <c r="E19" s="1077"/>
      <c r="F19" s="1077"/>
      <c r="G19" s="1077"/>
      <c r="H19" s="1077"/>
      <c r="K19" s="7" t="s">
        <v>695</v>
      </c>
    </row>
    <row r="20" spans="1:12" ht="19.5" customHeight="1">
      <c r="A20" s="5"/>
    </row>
    <row r="21" spans="1:12" ht="15" customHeight="1" thickBot="1">
      <c r="A21" s="5" t="s">
        <v>408</v>
      </c>
      <c r="K21" s="7" t="s">
        <v>538</v>
      </c>
    </row>
    <row r="22" spans="1:12" ht="24.95" customHeight="1">
      <c r="A22" s="1084" t="s">
        <v>409</v>
      </c>
      <c r="B22" s="933" t="s">
        <v>410</v>
      </c>
      <c r="C22" s="933"/>
      <c r="D22" s="933" t="s">
        <v>411</v>
      </c>
      <c r="E22" s="933"/>
      <c r="F22" s="933" t="s">
        <v>412</v>
      </c>
      <c r="G22" s="933"/>
      <c r="H22" s="933"/>
      <c r="I22" s="933"/>
      <c r="J22" s="981" t="s">
        <v>398</v>
      </c>
      <c r="K22" s="1062"/>
    </row>
    <row r="23" spans="1:12" ht="24.95" customHeight="1">
      <c r="A23" s="1085"/>
      <c r="B23" s="1017" t="s">
        <v>699</v>
      </c>
      <c r="C23" s="1017" t="s">
        <v>700</v>
      </c>
      <c r="D23" s="1017" t="s">
        <v>701</v>
      </c>
      <c r="E23" s="1017" t="s">
        <v>702</v>
      </c>
      <c r="F23" s="935" t="s">
        <v>413</v>
      </c>
      <c r="G23" s="935"/>
      <c r="H23" s="1017" t="s">
        <v>414</v>
      </c>
      <c r="I23" s="1017"/>
      <c r="J23" s="1017" t="s">
        <v>414</v>
      </c>
      <c r="K23" s="1018"/>
    </row>
    <row r="24" spans="1:12" ht="24.95" customHeight="1">
      <c r="A24" s="1085"/>
      <c r="B24" s="1017"/>
      <c r="C24" s="1017"/>
      <c r="D24" s="1017"/>
      <c r="E24" s="1017"/>
      <c r="F24" s="487" t="s">
        <v>703</v>
      </c>
      <c r="G24" s="554" t="s">
        <v>704</v>
      </c>
      <c r="H24" s="486" t="s">
        <v>705</v>
      </c>
      <c r="I24" s="555" t="s">
        <v>704</v>
      </c>
      <c r="J24" s="487" t="s">
        <v>703</v>
      </c>
      <c r="K24" s="162" t="s">
        <v>704</v>
      </c>
      <c r="L24" s="499"/>
    </row>
    <row r="25" spans="1:12" ht="30" customHeight="1">
      <c r="A25" s="744" t="s">
        <v>406</v>
      </c>
      <c r="B25" s="104">
        <v>40858</v>
      </c>
      <c r="C25" s="104">
        <v>43961</v>
      </c>
      <c r="D25" s="104">
        <v>108667</v>
      </c>
      <c r="E25" s="104">
        <v>111931</v>
      </c>
      <c r="F25" s="105">
        <v>2.74</v>
      </c>
      <c r="G25" s="105">
        <f t="shared" ref="G25:G32" si="1">E25/C25</f>
        <v>2.5461431723573167</v>
      </c>
      <c r="H25" s="312" t="s">
        <v>149</v>
      </c>
      <c r="I25" s="312" t="s">
        <v>149</v>
      </c>
      <c r="J25" s="312" t="s">
        <v>149</v>
      </c>
      <c r="K25" s="313" t="s">
        <v>149</v>
      </c>
      <c r="L25" s="499"/>
    </row>
    <row r="26" spans="1:12" ht="30" customHeight="1">
      <c r="A26" s="745" t="s">
        <v>595</v>
      </c>
      <c r="B26" s="11">
        <v>40694</v>
      </c>
      <c r="C26" s="11">
        <v>43763</v>
      </c>
      <c r="D26" s="11">
        <v>108370</v>
      </c>
      <c r="E26" s="11">
        <v>111446</v>
      </c>
      <c r="F26" s="498">
        <v>2.74</v>
      </c>
      <c r="G26" s="498">
        <f t="shared" si="1"/>
        <v>2.5465804446678701</v>
      </c>
      <c r="H26" s="688" t="s">
        <v>149</v>
      </c>
      <c r="I26" s="496" t="s">
        <v>149</v>
      </c>
      <c r="J26" s="688" t="s">
        <v>149</v>
      </c>
      <c r="K26" s="494" t="s">
        <v>149</v>
      </c>
      <c r="L26" s="499"/>
    </row>
    <row r="27" spans="1:12" ht="30" customHeight="1">
      <c r="A27" s="746" t="s">
        <v>415</v>
      </c>
      <c r="B27" s="11">
        <v>16933</v>
      </c>
      <c r="C27" s="11">
        <v>18531</v>
      </c>
      <c r="D27" s="11">
        <v>49996</v>
      </c>
      <c r="E27" s="11">
        <v>51931</v>
      </c>
      <c r="F27" s="498">
        <v>3</v>
      </c>
      <c r="G27" s="498">
        <f t="shared" si="1"/>
        <v>2.8023851923803358</v>
      </c>
      <c r="H27" s="688" t="s">
        <v>149</v>
      </c>
      <c r="I27" s="496" t="s">
        <v>149</v>
      </c>
      <c r="J27" s="688" t="s">
        <v>149</v>
      </c>
      <c r="K27" s="494" t="s">
        <v>149</v>
      </c>
      <c r="L27" s="499"/>
    </row>
    <row r="28" spans="1:12" ht="30" customHeight="1">
      <c r="A28" s="746" t="s">
        <v>416</v>
      </c>
      <c r="B28" s="11">
        <v>1452</v>
      </c>
      <c r="C28" s="11">
        <v>1352</v>
      </c>
      <c r="D28" s="11">
        <v>4309</v>
      </c>
      <c r="E28" s="11">
        <v>3573</v>
      </c>
      <c r="F28" s="498">
        <v>3</v>
      </c>
      <c r="G28" s="498">
        <f t="shared" si="1"/>
        <v>2.6427514792899407</v>
      </c>
      <c r="H28" s="688" t="s">
        <v>149</v>
      </c>
      <c r="I28" s="496" t="s">
        <v>149</v>
      </c>
      <c r="J28" s="688" t="s">
        <v>149</v>
      </c>
      <c r="K28" s="494" t="s">
        <v>149</v>
      </c>
      <c r="L28" s="499"/>
    </row>
    <row r="29" spans="1:12" ht="30" customHeight="1">
      <c r="A29" s="746" t="s">
        <v>417</v>
      </c>
      <c r="B29" s="11">
        <v>20484</v>
      </c>
      <c r="C29" s="11">
        <v>22415</v>
      </c>
      <c r="D29" s="11">
        <v>49374</v>
      </c>
      <c r="E29" s="11">
        <v>52494</v>
      </c>
      <c r="F29" s="498">
        <v>2.4</v>
      </c>
      <c r="G29" s="498">
        <f t="shared" si="1"/>
        <v>2.3419138969440105</v>
      </c>
      <c r="H29" s="688" t="s">
        <v>149</v>
      </c>
      <c r="I29" s="496" t="s">
        <v>149</v>
      </c>
      <c r="J29" s="688" t="s">
        <v>149</v>
      </c>
      <c r="K29" s="494" t="s">
        <v>149</v>
      </c>
      <c r="L29" s="499"/>
    </row>
    <row r="30" spans="1:12" ht="30" customHeight="1">
      <c r="A30" s="746" t="s">
        <v>418</v>
      </c>
      <c r="B30" s="11">
        <v>1004</v>
      </c>
      <c r="C30" s="11">
        <v>714</v>
      </c>
      <c r="D30" s="11">
        <v>2497</v>
      </c>
      <c r="E30" s="11">
        <v>1605</v>
      </c>
      <c r="F30" s="498">
        <v>2.5</v>
      </c>
      <c r="G30" s="498">
        <f t="shared" si="1"/>
        <v>2.2478991596638656</v>
      </c>
      <c r="H30" s="688" t="s">
        <v>149</v>
      </c>
      <c r="I30" s="496" t="s">
        <v>149</v>
      </c>
      <c r="J30" s="688" t="s">
        <v>149</v>
      </c>
      <c r="K30" s="494" t="s">
        <v>149</v>
      </c>
      <c r="L30" s="499"/>
    </row>
    <row r="31" spans="1:12" ht="30" customHeight="1">
      <c r="A31" s="746" t="s">
        <v>419</v>
      </c>
      <c r="B31" s="11">
        <v>821</v>
      </c>
      <c r="C31" s="11">
        <v>751</v>
      </c>
      <c r="D31" s="11">
        <v>2194</v>
      </c>
      <c r="E31" s="11">
        <v>1843</v>
      </c>
      <c r="F31" s="498">
        <v>2.7</v>
      </c>
      <c r="G31" s="498">
        <f t="shared" si="1"/>
        <v>2.4540612516644473</v>
      </c>
      <c r="H31" s="688" t="s">
        <v>149</v>
      </c>
      <c r="I31" s="496" t="s">
        <v>149</v>
      </c>
      <c r="J31" s="688" t="s">
        <v>149</v>
      </c>
      <c r="K31" s="494" t="s">
        <v>149</v>
      </c>
      <c r="L31" s="499"/>
    </row>
    <row r="32" spans="1:12" ht="15" customHeight="1">
      <c r="A32" s="747" t="s">
        <v>488</v>
      </c>
      <c r="B32" s="1012">
        <v>164</v>
      </c>
      <c r="C32" s="1012">
        <v>198</v>
      </c>
      <c r="D32" s="1012">
        <v>297</v>
      </c>
      <c r="E32" s="1012">
        <v>485</v>
      </c>
      <c r="F32" s="1091">
        <v>1.8</v>
      </c>
      <c r="G32" s="1091">
        <f t="shared" si="1"/>
        <v>2.4494949494949494</v>
      </c>
      <c r="H32" s="1089" t="s">
        <v>149</v>
      </c>
      <c r="I32" s="1089" t="s">
        <v>149</v>
      </c>
      <c r="J32" s="1089" t="s">
        <v>149</v>
      </c>
      <c r="K32" s="1087" t="s">
        <v>149</v>
      </c>
      <c r="L32" s="499"/>
    </row>
    <row r="33" spans="1:12" ht="15" customHeight="1" thickBot="1">
      <c r="A33" s="748" t="s">
        <v>557</v>
      </c>
      <c r="B33" s="1093"/>
      <c r="C33" s="1093"/>
      <c r="D33" s="1093"/>
      <c r="E33" s="1093"/>
      <c r="F33" s="1092"/>
      <c r="G33" s="1092"/>
      <c r="H33" s="1090"/>
      <c r="I33" s="1090"/>
      <c r="J33" s="1090"/>
      <c r="K33" s="1088"/>
      <c r="L33" s="499"/>
    </row>
    <row r="34" spans="1:12" ht="15" customHeight="1">
      <c r="A34" s="5" t="s">
        <v>597</v>
      </c>
      <c r="K34" s="7" t="s">
        <v>695</v>
      </c>
    </row>
    <row r="35" spans="1:12" ht="15" customHeight="1">
      <c r="A35" s="5" t="s">
        <v>596</v>
      </c>
    </row>
    <row r="36" spans="1:12" s="280" customFormat="1" ht="15" customHeight="1">
      <c r="A36" s="1086" t="s">
        <v>539</v>
      </c>
      <c r="B36" s="1086"/>
      <c r="C36" s="1086"/>
      <c r="D36" s="1086"/>
      <c r="E36" s="1086"/>
      <c r="F36" s="1086"/>
      <c r="G36" s="1086"/>
      <c r="H36" s="1086"/>
      <c r="I36" s="1086"/>
      <c r="J36" s="1086"/>
      <c r="K36" s="1086"/>
    </row>
    <row r="37" spans="1:12" s="280" customFormat="1" ht="13.5" customHeight="1">
      <c r="A37" s="280" t="s">
        <v>706</v>
      </c>
    </row>
    <row r="65529" ht="18.95" customHeight="1"/>
  </sheetData>
  <sheetProtection selectLockedCells="1" selectUnlockedCells="1"/>
  <mergeCells count="39">
    <mergeCell ref="A36:K36"/>
    <mergeCell ref="K32:K33"/>
    <mergeCell ref="J32:J33"/>
    <mergeCell ref="I32:I33"/>
    <mergeCell ref="H32:H33"/>
    <mergeCell ref="G32:G33"/>
    <mergeCell ref="F32:F33"/>
    <mergeCell ref="D32:D33"/>
    <mergeCell ref="E32:E33"/>
    <mergeCell ref="C32:C33"/>
    <mergeCell ref="B32:B33"/>
    <mergeCell ref="J23:K23"/>
    <mergeCell ref="B23:B24"/>
    <mergeCell ref="C23:C24"/>
    <mergeCell ref="F23:G23"/>
    <mergeCell ref="H23:I23"/>
    <mergeCell ref="E23:E24"/>
    <mergeCell ref="D23:D24"/>
    <mergeCell ref="J22:K22"/>
    <mergeCell ref="D22:E22"/>
    <mergeCell ref="K3:K4"/>
    <mergeCell ref="B22:C22"/>
    <mergeCell ref="A13:B13"/>
    <mergeCell ref="A8:B8"/>
    <mergeCell ref="A14:B14"/>
    <mergeCell ref="C3:H4"/>
    <mergeCell ref="F22:I22"/>
    <mergeCell ref="A3:B5"/>
    <mergeCell ref="A22:A24"/>
    <mergeCell ref="A9:B9"/>
    <mergeCell ref="A10:B10"/>
    <mergeCell ref="A17:B17"/>
    <mergeCell ref="A11:B11"/>
    <mergeCell ref="A15:B15"/>
    <mergeCell ref="A6:A7"/>
    <mergeCell ref="A19:H19"/>
    <mergeCell ref="A18:B18"/>
    <mergeCell ref="A16:B16"/>
    <mergeCell ref="A12:B12"/>
  </mergeCells>
  <phoneticPr fontId="19"/>
  <printOptions horizontalCentered="1"/>
  <pageMargins left="0.59055118110236227" right="0.59055118110236227" top="0.59055118110236227" bottom="0.59055118110236227" header="0.39370078740157483" footer="0.39370078740157483"/>
  <pageSetup paperSize="9" firstPageNumber="0" orientation="portrait" r:id="rId1"/>
  <headerFooter scaleWithDoc="0" alignWithMargins="0">
    <oddHeader>&amp;L&amp;"ＭＳ 明朝,標準"&amp;10人　口</oddHeader>
    <oddFooter>&amp;C&amp;"ＭＳ 明朝,標準"&amp;12&amp;A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5"/>
  <sheetViews>
    <sheetView view="pageBreakPreview" zoomScaleNormal="100" zoomScaleSheetLayoutView="100" workbookViewId="0">
      <selection activeCell="I243" sqref="I243"/>
    </sheetView>
  </sheetViews>
  <sheetFormatPr defaultRowHeight="13.5"/>
  <cols>
    <col min="1" max="6" width="15.375" style="337" customWidth="1"/>
    <col min="7" max="8" width="13.625" style="337" customWidth="1"/>
    <col min="9" max="9" width="14.375" style="337" customWidth="1"/>
    <col min="10" max="10" width="15.125" style="337" bestFit="1" customWidth="1"/>
    <col min="11" max="11" width="10.5" style="337" bestFit="1" customWidth="1"/>
    <col min="12" max="12" width="10.625" style="337" customWidth="1"/>
    <col min="13" max="16384" width="9" style="337"/>
  </cols>
  <sheetData>
    <row r="1" spans="1:15" ht="17.25">
      <c r="A1" s="335" t="s">
        <v>492</v>
      </c>
      <c r="B1" s="336"/>
      <c r="C1" s="336"/>
      <c r="D1" s="336"/>
      <c r="E1" s="336"/>
      <c r="F1" s="336"/>
    </row>
    <row r="2" spans="1:15" ht="14.25">
      <c r="A2" s="338"/>
      <c r="H2" s="553" t="s">
        <v>558</v>
      </c>
      <c r="I2" s="368" t="s">
        <v>622</v>
      </c>
    </row>
    <row r="3" spans="1:15" ht="14.25">
      <c r="A3" s="338"/>
      <c r="H3" s="357" t="s">
        <v>0</v>
      </c>
      <c r="I3" s="453">
        <v>53166</v>
      </c>
      <c r="J3" s="453">
        <v>54591</v>
      </c>
      <c r="K3" s="454">
        <v>0.7</v>
      </c>
      <c r="L3" s="453">
        <f>I3+J3</f>
        <v>107757</v>
      </c>
      <c r="M3" s="453">
        <v>947</v>
      </c>
    </row>
    <row r="4" spans="1:15">
      <c r="A4" s="339"/>
      <c r="H4" s="358"/>
      <c r="I4" s="341" t="s">
        <v>489</v>
      </c>
      <c r="J4" s="341" t="s">
        <v>490</v>
      </c>
      <c r="K4" s="341" t="s">
        <v>491</v>
      </c>
      <c r="L4" s="452" t="s">
        <v>546</v>
      </c>
      <c r="M4" s="452" t="s">
        <v>547</v>
      </c>
    </row>
    <row r="5" spans="1:15">
      <c r="A5" s="339" t="s">
        <v>2</v>
      </c>
      <c r="D5" s="339" t="s">
        <v>3</v>
      </c>
      <c r="H5" s="359" t="str">
        <f>'-39-'!A6</f>
        <v>平成19</v>
      </c>
      <c r="I5" s="342">
        <f>'-39-'!D6</f>
        <v>53757</v>
      </c>
      <c r="J5" s="342">
        <f>'-39-'!E6</f>
        <v>55660</v>
      </c>
      <c r="K5" s="457">
        <f>M5/L5*100</f>
        <v>1.5171317071387445</v>
      </c>
      <c r="L5" s="455">
        <f t="shared" ref="L5:L14" si="0">I5+J5</f>
        <v>109417</v>
      </c>
      <c r="M5" s="451">
        <f>L5-L3</f>
        <v>1660</v>
      </c>
    </row>
    <row r="6" spans="1:15">
      <c r="A6" s="339"/>
      <c r="D6" s="339"/>
      <c r="H6" s="359">
        <f>'-39-'!A7</f>
        <v>20</v>
      </c>
      <c r="I6" s="342">
        <f>'-39-'!D7</f>
        <v>53971</v>
      </c>
      <c r="J6" s="342">
        <f>'-39-'!E7</f>
        <v>56135</v>
      </c>
      <c r="K6" s="457">
        <f t="shared" ref="K6:K14" si="1">M6/L6*100</f>
        <v>0.62576063066499554</v>
      </c>
      <c r="L6" s="451">
        <f t="shared" si="0"/>
        <v>110106</v>
      </c>
      <c r="M6" s="456">
        <f t="shared" ref="M6:M14" si="2">L6-L5</f>
        <v>689</v>
      </c>
    </row>
    <row r="7" spans="1:15">
      <c r="B7" s="343" t="s">
        <v>493</v>
      </c>
      <c r="E7" s="344"/>
      <c r="H7" s="359">
        <f>'-39-'!A8</f>
        <v>21</v>
      </c>
      <c r="I7" s="342">
        <f>'-39-'!D8</f>
        <v>54426</v>
      </c>
      <c r="J7" s="342">
        <f>'-39-'!E8</f>
        <v>56563</v>
      </c>
      <c r="K7" s="457">
        <f t="shared" si="1"/>
        <v>0.7955743361954789</v>
      </c>
      <c r="L7" s="451">
        <f t="shared" si="0"/>
        <v>110989</v>
      </c>
      <c r="M7" s="456">
        <f t="shared" si="2"/>
        <v>883</v>
      </c>
    </row>
    <row r="8" spans="1:15">
      <c r="H8" s="359">
        <f>'-39-'!A9</f>
        <v>22</v>
      </c>
      <c r="I8" s="342">
        <f>'-39-'!D9</f>
        <v>54612</v>
      </c>
      <c r="J8" s="342">
        <f>'-39-'!E9</f>
        <v>56983</v>
      </c>
      <c r="K8" s="457">
        <f t="shared" si="1"/>
        <v>0.54303508221694519</v>
      </c>
      <c r="L8" s="451">
        <f t="shared" si="0"/>
        <v>111595</v>
      </c>
      <c r="M8" s="456">
        <f t="shared" si="2"/>
        <v>606</v>
      </c>
    </row>
    <row r="9" spans="1:15">
      <c r="H9" s="359">
        <f>'-39-'!A10</f>
        <v>23</v>
      </c>
      <c r="I9" s="342">
        <f>'-39-'!D10</f>
        <v>54927</v>
      </c>
      <c r="J9" s="342">
        <f>'-39-'!E10</f>
        <v>57350</v>
      </c>
      <c r="K9" s="457">
        <f t="shared" si="1"/>
        <v>0.60742627608503974</v>
      </c>
      <c r="L9" s="451">
        <f t="shared" si="0"/>
        <v>112277</v>
      </c>
      <c r="M9" s="456">
        <f t="shared" si="2"/>
        <v>682</v>
      </c>
    </row>
    <row r="10" spans="1:15">
      <c r="H10" s="359">
        <f>'-39-'!A11</f>
        <v>24</v>
      </c>
      <c r="I10" s="342">
        <f>'-39-'!D11</f>
        <v>55780</v>
      </c>
      <c r="J10" s="342">
        <f>'-39-'!E11</f>
        <v>57965</v>
      </c>
      <c r="K10" s="457">
        <f t="shared" si="1"/>
        <v>1.2906061804914502</v>
      </c>
      <c r="L10" s="451">
        <f t="shared" si="0"/>
        <v>113745</v>
      </c>
      <c r="M10" s="456">
        <f t="shared" si="2"/>
        <v>1468</v>
      </c>
    </row>
    <row r="11" spans="1:15">
      <c r="H11" s="359">
        <f>'-39-'!A12</f>
        <v>25</v>
      </c>
      <c r="I11" s="342">
        <f>'-39-'!D12</f>
        <v>55949</v>
      </c>
      <c r="J11" s="342">
        <f>'-39-'!E12</f>
        <v>58268</v>
      </c>
      <c r="K11" s="457">
        <f t="shared" si="1"/>
        <v>0.41324846563996598</v>
      </c>
      <c r="L11" s="451">
        <f t="shared" si="0"/>
        <v>114217</v>
      </c>
      <c r="M11" s="456">
        <f t="shared" si="2"/>
        <v>472</v>
      </c>
    </row>
    <row r="12" spans="1:15">
      <c r="H12" s="359">
        <f>'-39-'!A13</f>
        <v>26</v>
      </c>
      <c r="I12" s="342">
        <f>'-39-'!D13</f>
        <v>55850</v>
      </c>
      <c r="J12" s="342">
        <f>'-39-'!E13</f>
        <v>58395</v>
      </c>
      <c r="K12" s="457">
        <f t="shared" si="1"/>
        <v>2.4508731235502644E-2</v>
      </c>
      <c r="L12" s="451">
        <f t="shared" si="0"/>
        <v>114245</v>
      </c>
      <c r="M12" s="456">
        <f t="shared" si="2"/>
        <v>28</v>
      </c>
    </row>
    <row r="13" spans="1:15">
      <c r="H13" s="359">
        <f>'-39-'!A14</f>
        <v>27</v>
      </c>
      <c r="I13" s="342">
        <f>'-39-'!D14</f>
        <v>55729</v>
      </c>
      <c r="J13" s="342">
        <f>'-39-'!E14</f>
        <v>58436</v>
      </c>
      <c r="K13" s="457">
        <f t="shared" si="1"/>
        <v>-7.0074015679061005E-2</v>
      </c>
      <c r="L13" s="451">
        <f t="shared" si="0"/>
        <v>114165</v>
      </c>
      <c r="M13" s="456">
        <f t="shared" si="2"/>
        <v>-80</v>
      </c>
    </row>
    <row r="14" spans="1:15">
      <c r="H14" s="359">
        <f>'-39-'!A15</f>
        <v>28</v>
      </c>
      <c r="I14" s="342">
        <f>'-39-'!D15</f>
        <v>55787</v>
      </c>
      <c r="J14" s="342">
        <f>'-39-'!E15</f>
        <v>58550</v>
      </c>
      <c r="K14" s="457">
        <f t="shared" si="1"/>
        <v>0.15043249341857842</v>
      </c>
      <c r="L14" s="451">
        <f t="shared" si="0"/>
        <v>114337</v>
      </c>
      <c r="M14" s="456">
        <f t="shared" si="2"/>
        <v>172</v>
      </c>
    </row>
    <row r="15" spans="1:15">
      <c r="H15" s="553" t="s">
        <v>558</v>
      </c>
    </row>
    <row r="16" spans="1:15">
      <c r="H16" s="357" t="s">
        <v>1</v>
      </c>
      <c r="K16" s="345"/>
      <c r="L16" s="345"/>
      <c r="M16" s="345"/>
      <c r="N16" s="345"/>
      <c r="O16" s="345"/>
    </row>
    <row r="17" spans="8:15">
      <c r="H17" s="346" t="s">
        <v>494</v>
      </c>
      <c r="I17" s="342">
        <f>‐44‐!L6</f>
        <v>94</v>
      </c>
      <c r="J17" s="1094"/>
      <c r="K17" s="1094"/>
      <c r="L17" s="348"/>
      <c r="M17" s="345"/>
    </row>
    <row r="18" spans="8:15">
      <c r="H18" s="346" t="s">
        <v>495</v>
      </c>
      <c r="I18" s="342">
        <f>‐44‐!L7</f>
        <v>72</v>
      </c>
      <c r="J18" s="1094"/>
      <c r="K18" s="1094"/>
      <c r="L18" s="348"/>
      <c r="M18" s="345"/>
    </row>
    <row r="19" spans="8:15">
      <c r="H19" s="346" t="s">
        <v>548</v>
      </c>
      <c r="I19" s="342">
        <f>‐44‐!L8</f>
        <v>50</v>
      </c>
      <c r="J19" s="1094"/>
      <c r="K19" s="1094"/>
      <c r="L19" s="348"/>
      <c r="M19" s="345"/>
    </row>
    <row r="20" spans="8:15">
      <c r="H20" s="346" t="s">
        <v>496</v>
      </c>
      <c r="I20" s="342">
        <f>‐44‐!L9</f>
        <v>70</v>
      </c>
      <c r="J20" s="1094"/>
      <c r="K20" s="1094"/>
      <c r="L20" s="348"/>
      <c r="M20" s="345"/>
    </row>
    <row r="21" spans="8:15">
      <c r="H21" s="346" t="s">
        <v>420</v>
      </c>
      <c r="I21" s="342">
        <f>‐44‐!L10</f>
        <v>448</v>
      </c>
      <c r="J21" s="1094"/>
      <c r="K21" s="1094"/>
      <c r="L21" s="348"/>
      <c r="M21" s="345"/>
    </row>
    <row r="22" spans="8:15">
      <c r="H22" s="346" t="s">
        <v>497</v>
      </c>
      <c r="I22" s="342">
        <f>‐44‐!L11</f>
        <v>56</v>
      </c>
      <c r="J22" s="1094"/>
      <c r="K22" s="1094"/>
      <c r="L22" s="348"/>
      <c r="M22" s="345"/>
    </row>
    <row r="23" spans="8:15">
      <c r="H23" s="346" t="s">
        <v>498</v>
      </c>
      <c r="I23" s="342">
        <f>‐44‐!L12</f>
        <v>7</v>
      </c>
      <c r="J23" s="1094"/>
      <c r="K23" s="1094"/>
      <c r="L23" s="348"/>
      <c r="M23" s="345"/>
    </row>
    <row r="24" spans="8:15">
      <c r="H24" s="346" t="s">
        <v>499</v>
      </c>
      <c r="I24" s="342">
        <f>‐44‐!L13</f>
        <v>8</v>
      </c>
      <c r="J24" s="1094"/>
      <c r="K24" s="1094"/>
      <c r="L24" s="348"/>
      <c r="M24" s="345"/>
    </row>
    <row r="25" spans="8:15">
      <c r="H25" s="346" t="s">
        <v>500</v>
      </c>
      <c r="I25" s="342">
        <f>‐44‐!L14</f>
        <v>7</v>
      </c>
      <c r="J25" s="1094"/>
      <c r="K25" s="1094"/>
      <c r="L25" s="348"/>
      <c r="M25" s="345"/>
    </row>
    <row r="26" spans="8:15">
      <c r="H26" s="346" t="s">
        <v>501</v>
      </c>
      <c r="I26" s="342">
        <f>‐44‐!L15</f>
        <v>4</v>
      </c>
      <c r="J26" s="1094"/>
      <c r="K26" s="1094"/>
      <c r="L26" s="348"/>
      <c r="M26" s="345"/>
    </row>
    <row r="27" spans="8:15">
      <c r="H27" s="346" t="s">
        <v>502</v>
      </c>
      <c r="I27" s="342">
        <f>‐44‐!L16</f>
        <v>5</v>
      </c>
      <c r="J27" s="1094"/>
      <c r="K27" s="1094"/>
      <c r="L27" s="348"/>
      <c r="M27" s="345"/>
    </row>
    <row r="28" spans="8:15">
      <c r="H28" s="346" t="s">
        <v>503</v>
      </c>
      <c r="I28" s="342">
        <f>‐44‐!L17</f>
        <v>0</v>
      </c>
      <c r="J28" s="1094"/>
      <c r="K28" s="1094"/>
      <c r="L28" s="348"/>
      <c r="M28" s="345"/>
    </row>
    <row r="29" spans="8:15">
      <c r="H29" s="346" t="s">
        <v>504</v>
      </c>
      <c r="I29" s="342">
        <f>‐44‐!L18</f>
        <v>6</v>
      </c>
      <c r="J29" s="1094"/>
      <c r="K29" s="1094"/>
      <c r="L29" s="348"/>
      <c r="M29" s="345"/>
    </row>
    <row r="30" spans="8:15">
      <c r="H30" s="346" t="s">
        <v>505</v>
      </c>
      <c r="I30" s="342">
        <f>‐44‐!L19</f>
        <v>89</v>
      </c>
      <c r="J30" s="345"/>
      <c r="K30" s="345"/>
      <c r="L30" s="345"/>
      <c r="M30" s="345"/>
    </row>
    <row r="31" spans="8:15">
      <c r="K31" s="345"/>
      <c r="L31" s="345"/>
      <c r="M31" s="345"/>
      <c r="N31" s="345"/>
      <c r="O31" s="345"/>
    </row>
    <row r="32" spans="8:15">
      <c r="H32" s="337" t="s">
        <v>719</v>
      </c>
      <c r="I32" s="755">
        <f>SUM(I17:I31)</f>
        <v>916</v>
      </c>
      <c r="K32" s="345"/>
    </row>
    <row r="34" spans="1:10">
      <c r="H34" s="553" t="s">
        <v>558</v>
      </c>
    </row>
    <row r="35" spans="1:10">
      <c r="H35" s="357" t="s">
        <v>4</v>
      </c>
      <c r="I35" s="360"/>
    </row>
    <row r="36" spans="1:10">
      <c r="A36" s="339" t="s">
        <v>506</v>
      </c>
      <c r="D36" s="349"/>
      <c r="H36" s="361" t="s">
        <v>507</v>
      </c>
      <c r="I36" s="361"/>
    </row>
    <row r="37" spans="1:10">
      <c r="H37" s="358" t="s">
        <v>489</v>
      </c>
      <c r="I37" s="358"/>
    </row>
    <row r="38" spans="1:10">
      <c r="H38" s="358" t="s">
        <v>508</v>
      </c>
      <c r="I38" s="458">
        <f>‐41‐!O38</f>
        <v>10599</v>
      </c>
    </row>
    <row r="39" spans="1:10">
      <c r="H39" s="358" t="s">
        <v>509</v>
      </c>
      <c r="I39" s="458">
        <f>‐41‐!O39</f>
        <v>36242</v>
      </c>
      <c r="J39" s="351"/>
    </row>
    <row r="40" spans="1:10">
      <c r="H40" s="358" t="s">
        <v>510</v>
      </c>
      <c r="I40" s="458">
        <f>‐41‐!O40</f>
        <v>8946</v>
      </c>
    </row>
    <row r="41" spans="1:10">
      <c r="H41" s="500" t="s">
        <v>546</v>
      </c>
      <c r="I41" s="501">
        <f>SUM(I38:I40)</f>
        <v>55787</v>
      </c>
    </row>
    <row r="42" spans="1:10">
      <c r="H42" s="360"/>
      <c r="I42" s="360"/>
      <c r="J42" s="351"/>
    </row>
    <row r="43" spans="1:10">
      <c r="H43" s="358" t="s">
        <v>490</v>
      </c>
      <c r="I43" s="358"/>
    </row>
    <row r="44" spans="1:10">
      <c r="H44" s="358" t="s">
        <v>508</v>
      </c>
      <c r="I44" s="458">
        <f>‐41‐!P38</f>
        <v>10180</v>
      </c>
    </row>
    <row r="45" spans="1:10">
      <c r="H45" s="358" t="s">
        <v>509</v>
      </c>
      <c r="I45" s="458">
        <f>‐41‐!P39</f>
        <v>37083</v>
      </c>
    </row>
    <row r="46" spans="1:10">
      <c r="H46" s="358" t="s">
        <v>510</v>
      </c>
      <c r="I46" s="458">
        <f>‐41‐!P40</f>
        <v>11287</v>
      </c>
    </row>
    <row r="47" spans="1:10">
      <c r="H47" s="500" t="s">
        <v>546</v>
      </c>
      <c r="I47" s="501">
        <f>SUM(I44:I46)</f>
        <v>58550</v>
      </c>
    </row>
    <row r="64" spans="1:1">
      <c r="A64" s="339" t="s">
        <v>511</v>
      </c>
    </row>
    <row r="65" spans="1:11">
      <c r="A65" s="339"/>
    </row>
    <row r="79" spans="1:11">
      <c r="H79" s="357" t="s">
        <v>11</v>
      </c>
    </row>
    <row r="80" spans="1:11">
      <c r="H80" s="358"/>
      <c r="I80" s="358" t="s">
        <v>512</v>
      </c>
      <c r="J80" s="358" t="s">
        <v>513</v>
      </c>
      <c r="K80" s="358" t="s">
        <v>514</v>
      </c>
    </row>
    <row r="81" spans="1:12">
      <c r="H81" s="369" t="str">
        <f>‐44‐!A31</f>
        <v>平成18年</v>
      </c>
      <c r="I81" s="756">
        <f t="shared" ref="I81:I91" si="3">J81+K81</f>
        <v>874</v>
      </c>
      <c r="J81" s="342">
        <f t="shared" ref="J81:J91" si="4">I94-J94</f>
        <v>1022</v>
      </c>
      <c r="K81" s="364">
        <f t="shared" ref="K81:K91" si="5">K94-L94</f>
        <v>-148</v>
      </c>
    </row>
    <row r="82" spans="1:12">
      <c r="H82" s="369">
        <v>19</v>
      </c>
      <c r="I82" s="756">
        <f>J82+K82</f>
        <v>786</v>
      </c>
      <c r="J82" s="342">
        <f t="shared" si="4"/>
        <v>908</v>
      </c>
      <c r="K82" s="365">
        <f t="shared" si="5"/>
        <v>-122</v>
      </c>
      <c r="L82" s="107"/>
    </row>
    <row r="83" spans="1:12">
      <c r="H83" s="369">
        <v>20</v>
      </c>
      <c r="I83" s="757">
        <f t="shared" si="3"/>
        <v>689</v>
      </c>
      <c r="J83" s="353">
        <f>I96-J96</f>
        <v>957</v>
      </c>
      <c r="K83" s="365">
        <f t="shared" si="5"/>
        <v>-268</v>
      </c>
    </row>
    <row r="84" spans="1:12">
      <c r="H84" s="369">
        <v>21</v>
      </c>
      <c r="I84" s="756">
        <f t="shared" si="3"/>
        <v>883</v>
      </c>
      <c r="J84" s="342">
        <f t="shared" si="4"/>
        <v>967</v>
      </c>
      <c r="K84" s="364">
        <f t="shared" si="5"/>
        <v>-84</v>
      </c>
    </row>
    <row r="85" spans="1:12">
      <c r="H85" s="369">
        <v>22</v>
      </c>
      <c r="I85" s="757">
        <f t="shared" si="3"/>
        <v>657</v>
      </c>
      <c r="J85" s="353">
        <f t="shared" si="4"/>
        <v>853</v>
      </c>
      <c r="K85" s="365">
        <f t="shared" si="5"/>
        <v>-196</v>
      </c>
    </row>
    <row r="86" spans="1:12">
      <c r="H86" s="369">
        <v>23</v>
      </c>
      <c r="I86" s="757">
        <f t="shared" si="3"/>
        <v>727</v>
      </c>
      <c r="J86" s="353">
        <f t="shared" si="4"/>
        <v>859</v>
      </c>
      <c r="K86" s="365">
        <f t="shared" si="5"/>
        <v>-132</v>
      </c>
    </row>
    <row r="87" spans="1:12">
      <c r="H87" s="369">
        <v>24</v>
      </c>
      <c r="I87" s="757">
        <f t="shared" si="3"/>
        <v>1573</v>
      </c>
      <c r="J87" s="353">
        <f t="shared" si="4"/>
        <v>899</v>
      </c>
      <c r="K87" s="365">
        <f t="shared" si="5"/>
        <v>674</v>
      </c>
    </row>
    <row r="88" spans="1:12">
      <c r="H88" s="369">
        <v>25</v>
      </c>
      <c r="I88" s="757">
        <f t="shared" si="3"/>
        <v>494</v>
      </c>
      <c r="J88" s="353">
        <f t="shared" si="4"/>
        <v>812</v>
      </c>
      <c r="K88" s="365">
        <f t="shared" si="5"/>
        <v>-318</v>
      </c>
    </row>
    <row r="89" spans="1:12">
      <c r="H89" s="369">
        <v>26</v>
      </c>
      <c r="I89" s="757">
        <f t="shared" si="3"/>
        <v>28</v>
      </c>
      <c r="J89" s="353">
        <f t="shared" si="4"/>
        <v>720</v>
      </c>
      <c r="K89" s="365">
        <f t="shared" si="5"/>
        <v>-692</v>
      </c>
    </row>
    <row r="90" spans="1:12">
      <c r="H90" s="369">
        <v>27</v>
      </c>
      <c r="I90" s="757">
        <f t="shared" si="3"/>
        <v>-80</v>
      </c>
      <c r="J90" s="353">
        <f t="shared" si="4"/>
        <v>746</v>
      </c>
      <c r="K90" s="365">
        <f t="shared" si="5"/>
        <v>-826</v>
      </c>
    </row>
    <row r="91" spans="1:12">
      <c r="H91" s="369" t="s">
        <v>720</v>
      </c>
      <c r="I91" s="366">
        <f t="shared" si="3"/>
        <v>152</v>
      </c>
      <c r="J91" s="366">
        <f t="shared" si="4"/>
        <v>620</v>
      </c>
      <c r="K91" s="366">
        <f t="shared" si="5"/>
        <v>-468</v>
      </c>
    </row>
    <row r="92" spans="1:12">
      <c r="H92" s="357" t="s">
        <v>10</v>
      </c>
    </row>
    <row r="93" spans="1:12">
      <c r="A93" s="339" t="s">
        <v>515</v>
      </c>
      <c r="H93" s="350"/>
      <c r="I93" s="350" t="s">
        <v>516</v>
      </c>
      <c r="J93" s="350" t="s">
        <v>517</v>
      </c>
      <c r="K93" s="350" t="s">
        <v>518</v>
      </c>
      <c r="L93" s="350" t="s">
        <v>519</v>
      </c>
    </row>
    <row r="94" spans="1:12">
      <c r="H94" s="367" t="str">
        <f>‐44‐!A31</f>
        <v>平成18年</v>
      </c>
      <c r="I94" s="342">
        <f>‐44‐!F31</f>
        <v>1525</v>
      </c>
      <c r="J94" s="342">
        <f>‐44‐!G31</f>
        <v>503</v>
      </c>
      <c r="K94" s="342">
        <f>‐44‐!I31</f>
        <v>6144</v>
      </c>
      <c r="L94" s="342">
        <f>‐44‐!J31</f>
        <v>6292</v>
      </c>
    </row>
    <row r="95" spans="1:12">
      <c r="H95" s="367">
        <v>19</v>
      </c>
      <c r="I95" s="342">
        <f>‐44‐!F32</f>
        <v>1503</v>
      </c>
      <c r="J95" s="342">
        <f>‐44‐!G32</f>
        <v>595</v>
      </c>
      <c r="K95" s="342">
        <f>‐44‐!I32</f>
        <v>6076</v>
      </c>
      <c r="L95" s="342">
        <f>‐44‐!J32</f>
        <v>6198</v>
      </c>
    </row>
    <row r="96" spans="1:12">
      <c r="H96" s="367">
        <v>20</v>
      </c>
      <c r="I96" s="342">
        <f>‐44‐!F33</f>
        <v>1516</v>
      </c>
      <c r="J96" s="342">
        <f>‐44‐!G33</f>
        <v>559</v>
      </c>
      <c r="K96" s="342">
        <f>‐44‐!I33</f>
        <v>5782</v>
      </c>
      <c r="L96" s="342">
        <f>‐44‐!J33</f>
        <v>6050</v>
      </c>
    </row>
    <row r="97" spans="8:12">
      <c r="H97" s="367">
        <v>21</v>
      </c>
      <c r="I97" s="342">
        <f>‐44‐!F34</f>
        <v>1544</v>
      </c>
      <c r="J97" s="342">
        <f>‐44‐!G34</f>
        <v>577</v>
      </c>
      <c r="K97" s="342">
        <f>‐44‐!I34</f>
        <v>5675</v>
      </c>
      <c r="L97" s="342">
        <f>‐44‐!J34</f>
        <v>5759</v>
      </c>
    </row>
    <row r="98" spans="8:12">
      <c r="H98" s="367">
        <v>22</v>
      </c>
      <c r="I98" s="342">
        <f>‐44‐!F35</f>
        <v>1507</v>
      </c>
      <c r="J98" s="342">
        <f>‐44‐!G35</f>
        <v>654</v>
      </c>
      <c r="K98" s="342">
        <f>‐44‐!I35</f>
        <v>5698</v>
      </c>
      <c r="L98" s="342">
        <f>‐44‐!J35</f>
        <v>5894</v>
      </c>
    </row>
    <row r="99" spans="8:12">
      <c r="H99" s="367">
        <v>23</v>
      </c>
      <c r="I99" s="342">
        <f>‐44‐!F36</f>
        <v>1542</v>
      </c>
      <c r="J99" s="342">
        <f>‐44‐!G36</f>
        <v>683</v>
      </c>
      <c r="K99" s="342">
        <f>‐44‐!I36</f>
        <v>5604</v>
      </c>
      <c r="L99" s="342">
        <f>‐44‐!J36</f>
        <v>5736</v>
      </c>
    </row>
    <row r="100" spans="8:12">
      <c r="H100" s="367">
        <v>24</v>
      </c>
      <c r="I100" s="342">
        <f>‐44‐!F37</f>
        <v>1540</v>
      </c>
      <c r="J100" s="342">
        <f>‐44‐!G37</f>
        <v>641</v>
      </c>
      <c r="K100" s="342">
        <f>‐44‐!I37</f>
        <v>6298</v>
      </c>
      <c r="L100" s="342">
        <f>‐44‐!J37</f>
        <v>5624</v>
      </c>
    </row>
    <row r="101" spans="8:12">
      <c r="H101" s="367">
        <v>25</v>
      </c>
      <c r="I101" s="342">
        <f>‐44‐!F38</f>
        <v>1452</v>
      </c>
      <c r="J101" s="342">
        <f>‐44‐!G38</f>
        <v>640</v>
      </c>
      <c r="K101" s="342">
        <f>‐44‐!I38</f>
        <v>6024</v>
      </c>
      <c r="L101" s="342">
        <f>‐44‐!J38</f>
        <v>6342</v>
      </c>
    </row>
    <row r="102" spans="8:12">
      <c r="H102" s="367">
        <v>26</v>
      </c>
      <c r="I102" s="342">
        <f>‐44‐!F39</f>
        <v>1391</v>
      </c>
      <c r="J102" s="342">
        <f>‐44‐!G39</f>
        <v>671</v>
      </c>
      <c r="K102" s="342">
        <f>‐44‐!I39</f>
        <v>5587</v>
      </c>
      <c r="L102" s="342">
        <f>‐44‐!J39</f>
        <v>6279</v>
      </c>
    </row>
    <row r="103" spans="8:12">
      <c r="H103" s="367">
        <v>27</v>
      </c>
      <c r="I103" s="342">
        <f>‐44‐!F40</f>
        <v>1433</v>
      </c>
      <c r="J103" s="342">
        <f>‐44‐!G40</f>
        <v>687</v>
      </c>
      <c r="K103" s="342">
        <f>‐44‐!I40</f>
        <v>5477</v>
      </c>
      <c r="L103" s="342">
        <f>‐44‐!J40</f>
        <v>6303</v>
      </c>
    </row>
    <row r="104" spans="8:12">
      <c r="H104" s="367" t="s">
        <v>720</v>
      </c>
      <c r="I104" s="342">
        <f>‐44‐!F41</f>
        <v>1350</v>
      </c>
      <c r="J104" s="342">
        <f>‐44‐!G41</f>
        <v>730</v>
      </c>
      <c r="K104" s="342">
        <f>‐44‐!I41</f>
        <v>5854</v>
      </c>
      <c r="L104" s="342">
        <f>‐44‐!J41</f>
        <v>6322</v>
      </c>
    </row>
    <row r="108" spans="8:12">
      <c r="I108" s="107"/>
      <c r="J108" s="107"/>
      <c r="K108" s="107"/>
      <c r="L108" s="107"/>
    </row>
    <row r="123" spans="1:11">
      <c r="A123" s="339" t="s">
        <v>520</v>
      </c>
      <c r="H123" s="357" t="s">
        <v>9</v>
      </c>
    </row>
    <row r="124" spans="1:11">
      <c r="H124" s="358"/>
      <c r="I124" s="368" t="s">
        <v>489</v>
      </c>
      <c r="J124" s="368" t="s">
        <v>490</v>
      </c>
      <c r="K124" s="368" t="s">
        <v>12</v>
      </c>
    </row>
    <row r="125" spans="1:11">
      <c r="C125" s="374"/>
      <c r="H125" s="358" t="s">
        <v>721</v>
      </c>
      <c r="I125" s="342">
        <f>‐48‐!D25</f>
        <v>20362</v>
      </c>
      <c r="J125" s="342">
        <f>‐48‐!E25</f>
        <v>21406</v>
      </c>
      <c r="K125" s="373">
        <f>‐48‐!G25</f>
        <v>35.520000000000003</v>
      </c>
    </row>
    <row r="126" spans="1:11">
      <c r="H126" s="358" t="s">
        <v>521</v>
      </c>
      <c r="I126" s="342">
        <f>‐48‐!D27</f>
        <v>29382</v>
      </c>
      <c r="J126" s="342">
        <f>‐48‐!E27</f>
        <v>29907</v>
      </c>
      <c r="K126" s="373">
        <f>‐48‐!G27</f>
        <v>41.95</v>
      </c>
    </row>
    <row r="127" spans="1:11">
      <c r="H127" s="358" t="s">
        <v>522</v>
      </c>
      <c r="I127" s="342">
        <f>‐48‐!D29</f>
        <v>34773</v>
      </c>
      <c r="J127" s="342">
        <f>‐48‐!E29</f>
        <v>35509</v>
      </c>
      <c r="K127" s="373">
        <f>‐48‐!G29</f>
        <v>18.54</v>
      </c>
    </row>
    <row r="128" spans="1:11">
      <c r="H128" s="358" t="s">
        <v>523</v>
      </c>
      <c r="I128" s="342">
        <f>‐48‐!D31</f>
        <v>40547</v>
      </c>
      <c r="J128" s="342">
        <f>‐48‐!E31</f>
        <v>41064</v>
      </c>
      <c r="K128" s="373">
        <f>‐48‐!G31</f>
        <v>16.12</v>
      </c>
    </row>
    <row r="129" spans="2:11">
      <c r="H129" s="358" t="s">
        <v>598</v>
      </c>
      <c r="I129" s="342">
        <f>‐48‐!D33</f>
        <v>44316</v>
      </c>
      <c r="J129" s="342">
        <f>‐48‐!E33</f>
        <v>45678</v>
      </c>
      <c r="K129" s="373">
        <f>‐48‐!G33</f>
        <v>10.27</v>
      </c>
    </row>
    <row r="130" spans="2:11">
      <c r="H130" s="358" t="s">
        <v>599</v>
      </c>
      <c r="I130" s="342">
        <f>‐48‐!D35</f>
        <v>47360</v>
      </c>
      <c r="J130" s="342">
        <f>‐48‐!E35</f>
        <v>48642</v>
      </c>
      <c r="K130" s="373">
        <f>‐48‐!G35</f>
        <v>6.68</v>
      </c>
    </row>
    <row r="131" spans="2:11">
      <c r="H131" s="358" t="s">
        <v>524</v>
      </c>
      <c r="I131" s="342">
        <f>‐48‐!D37</f>
        <v>50440</v>
      </c>
      <c r="J131" s="342">
        <f>‐48‐!E37</f>
        <v>52294</v>
      </c>
      <c r="K131" s="373">
        <f>‐48‐!G37</f>
        <v>7.01</v>
      </c>
    </row>
    <row r="132" spans="2:11">
      <c r="H132" s="358" t="s">
        <v>525</v>
      </c>
      <c r="I132" s="342">
        <f>‐48‐!D39</f>
        <v>52128</v>
      </c>
      <c r="J132" s="342">
        <f>‐48‐!E39</f>
        <v>53921</v>
      </c>
      <c r="K132" s="373">
        <f>‐48‐!G39</f>
        <v>3.23</v>
      </c>
    </row>
    <row r="133" spans="2:11">
      <c r="H133" s="358" t="s">
        <v>8</v>
      </c>
      <c r="I133" s="342">
        <f>‐48‐!D41</f>
        <v>53948</v>
      </c>
      <c r="J133" s="342">
        <f>‐48‐!E41</f>
        <v>56403</v>
      </c>
      <c r="K133" s="373">
        <f>‐48‐!G41</f>
        <v>4.0599999999999996</v>
      </c>
    </row>
    <row r="134" spans="2:11">
      <c r="H134" s="358" t="s">
        <v>722</v>
      </c>
      <c r="I134" s="370">
        <f>‐48‐!D43</f>
        <v>55471</v>
      </c>
      <c r="J134" s="371">
        <f>‐48‐!E43</f>
        <v>58761</v>
      </c>
      <c r="K134" s="372">
        <f>‐48‐!G43</f>
        <v>3.52</v>
      </c>
    </row>
    <row r="135" spans="2:11">
      <c r="J135" s="337" t="s">
        <v>526</v>
      </c>
    </row>
    <row r="137" spans="2:11">
      <c r="B137" s="352"/>
      <c r="C137" s="352"/>
    </row>
    <row r="139" spans="2:11">
      <c r="B139" s="352"/>
      <c r="C139" s="352"/>
    </row>
    <row r="141" spans="2:11">
      <c r="B141" s="352"/>
      <c r="C141" s="352"/>
    </row>
    <row r="154" spans="1:10">
      <c r="H154" s="447">
        <v>-12</v>
      </c>
    </row>
    <row r="155" spans="1:10">
      <c r="A155" s="339" t="s">
        <v>527</v>
      </c>
      <c r="H155" s="340"/>
      <c r="I155" s="340" t="s">
        <v>528</v>
      </c>
      <c r="J155" s="340" t="s">
        <v>529</v>
      </c>
    </row>
    <row r="156" spans="1:10">
      <c r="H156" s="340" t="s">
        <v>530</v>
      </c>
      <c r="I156" s="449">
        <f>‐53‐!P14</f>
        <v>64.014373716632448</v>
      </c>
      <c r="J156" s="449">
        <f>100-I156</f>
        <v>35.985626283367552</v>
      </c>
    </row>
    <row r="157" spans="1:10">
      <c r="B157" s="437" t="s">
        <v>723</v>
      </c>
      <c r="H157" s="340" t="s">
        <v>531</v>
      </c>
      <c r="I157" s="449">
        <f>‐53‐!N14</f>
        <v>97.318614748931992</v>
      </c>
      <c r="J157" s="449">
        <f>100-I157</f>
        <v>2.6813852510680078</v>
      </c>
    </row>
    <row r="179" spans="1:15">
      <c r="D179" s="339" t="s">
        <v>532</v>
      </c>
    </row>
    <row r="185" spans="1:15">
      <c r="A185" s="339"/>
      <c r="B185" s="472" t="s">
        <v>552</v>
      </c>
      <c r="C185" s="339"/>
      <c r="D185" s="436"/>
      <c r="E185" s="473" t="s">
        <v>551</v>
      </c>
      <c r="F185" s="339"/>
      <c r="H185" s="447">
        <v>-13</v>
      </c>
      <c r="M185" s="357" t="s">
        <v>13</v>
      </c>
    </row>
    <row r="186" spans="1:15">
      <c r="B186" s="472" t="s">
        <v>544</v>
      </c>
      <c r="C186" s="339"/>
      <c r="E186" s="473" t="s">
        <v>545</v>
      </c>
      <c r="F186" s="339"/>
      <c r="H186" s="354"/>
      <c r="I186" s="346" t="s">
        <v>533</v>
      </c>
      <c r="J186" s="346" t="s">
        <v>534</v>
      </c>
      <c r="K186" s="346" t="s">
        <v>535</v>
      </c>
      <c r="M186"/>
      <c r="N186" t="s">
        <v>489</v>
      </c>
      <c r="O186" t="s">
        <v>490</v>
      </c>
    </row>
    <row r="187" spans="1:15">
      <c r="A187" s="1095"/>
      <c r="B187" s="1095"/>
      <c r="C187" s="339"/>
      <c r="D187" s="339"/>
      <c r="E187" s="339"/>
      <c r="F187" s="339"/>
      <c r="H187" s="355" t="s">
        <v>622</v>
      </c>
      <c r="I187" s="342">
        <f>‐50‐!C12</f>
        <v>21528</v>
      </c>
      <c r="J187" s="342">
        <f>‐50‐!G12</f>
        <v>71343</v>
      </c>
      <c r="K187" s="342">
        <f>‐50‐!J12</f>
        <v>13169</v>
      </c>
      <c r="M187">
        <v>0</v>
      </c>
      <c r="N187" s="754">
        <v>668</v>
      </c>
      <c r="O187" s="754">
        <v>699</v>
      </c>
    </row>
    <row r="188" spans="1:15">
      <c r="A188" s="339"/>
      <c r="B188" s="339"/>
      <c r="C188" s="339"/>
      <c r="D188" s="339"/>
      <c r="E188" s="339"/>
      <c r="F188" s="339"/>
      <c r="H188" s="355" t="s">
        <v>8</v>
      </c>
      <c r="I188" s="342">
        <f>‐50‐!C14</f>
        <v>21264</v>
      </c>
      <c r="J188" s="342">
        <f>‐50‐!G14</f>
        <v>72687</v>
      </c>
      <c r="K188" s="342">
        <f>‐50‐!J14</f>
        <v>15846</v>
      </c>
      <c r="M188">
        <v>1</v>
      </c>
      <c r="N188" s="754">
        <v>672</v>
      </c>
      <c r="O188" s="754">
        <v>646</v>
      </c>
    </row>
    <row r="189" spans="1:15">
      <c r="A189" s="339"/>
      <c r="B189" s="339"/>
      <c r="C189" s="339"/>
      <c r="D189" s="339"/>
      <c r="E189" s="339"/>
      <c r="F189" s="339"/>
      <c r="H189" s="355" t="s">
        <v>722</v>
      </c>
      <c r="I189" s="342">
        <f>‐50‐!C16</f>
        <v>20910</v>
      </c>
      <c r="J189" s="342">
        <f>‐50‐!G16</f>
        <v>72626</v>
      </c>
      <c r="K189" s="342">
        <f>‐50‐!J16</f>
        <v>19476</v>
      </c>
      <c r="M189">
        <v>2</v>
      </c>
      <c r="N189" s="754">
        <v>676</v>
      </c>
      <c r="O189" s="754">
        <v>684</v>
      </c>
    </row>
    <row r="190" spans="1:15">
      <c r="A190" s="339"/>
      <c r="B190" s="339"/>
      <c r="C190" s="339"/>
      <c r="D190" s="339"/>
      <c r="E190" s="339"/>
      <c r="F190" s="339"/>
      <c r="M190">
        <v>3</v>
      </c>
      <c r="N190" s="754">
        <v>750</v>
      </c>
      <c r="O190" s="754">
        <v>711</v>
      </c>
    </row>
    <row r="191" spans="1:15">
      <c r="A191" s="339"/>
      <c r="B191" s="339"/>
      <c r="C191" s="339"/>
      <c r="D191" s="339"/>
      <c r="E191" s="339"/>
      <c r="F191" s="339"/>
      <c r="M191">
        <v>4</v>
      </c>
      <c r="N191" s="754">
        <v>681</v>
      </c>
      <c r="O191" s="754">
        <v>716</v>
      </c>
    </row>
    <row r="192" spans="1:15">
      <c r="A192" s="339"/>
      <c r="B192" s="339"/>
      <c r="C192" s="339"/>
      <c r="D192" s="339"/>
      <c r="E192" s="339"/>
      <c r="F192" s="339"/>
      <c r="M192">
        <v>5</v>
      </c>
      <c r="N192" s="754">
        <v>719</v>
      </c>
      <c r="O192" s="754">
        <v>678</v>
      </c>
    </row>
    <row r="193" spans="1:15">
      <c r="A193" s="339"/>
      <c r="B193" s="339"/>
      <c r="C193" s="339"/>
      <c r="D193" s="339"/>
      <c r="E193" s="339"/>
      <c r="F193" s="339"/>
      <c r="M193">
        <v>6</v>
      </c>
      <c r="N193" s="754">
        <v>717</v>
      </c>
      <c r="O193" s="754">
        <v>682</v>
      </c>
    </row>
    <row r="194" spans="1:15">
      <c r="A194" s="339"/>
      <c r="B194" s="339"/>
      <c r="C194" s="339"/>
      <c r="D194" s="339"/>
      <c r="E194" s="339"/>
      <c r="F194" s="339"/>
      <c r="H194" s="448">
        <v>-14</v>
      </c>
      <c r="M194">
        <v>7</v>
      </c>
      <c r="N194" s="754">
        <v>673</v>
      </c>
      <c r="O194" s="754">
        <v>715</v>
      </c>
    </row>
    <row r="195" spans="1:15">
      <c r="A195" s="339"/>
      <c r="B195" s="339"/>
      <c r="C195" s="339"/>
      <c r="E195" s="339"/>
      <c r="F195" s="339"/>
      <c r="H195" s="350" t="s">
        <v>543</v>
      </c>
      <c r="I195" s="350" t="s">
        <v>536</v>
      </c>
      <c r="J195" s="350" t="s">
        <v>537</v>
      </c>
      <c r="K195" s="350" t="s">
        <v>505</v>
      </c>
      <c r="L195" s="445"/>
      <c r="M195">
        <v>8</v>
      </c>
      <c r="N195" s="754">
        <v>727</v>
      </c>
      <c r="O195" s="754">
        <v>668</v>
      </c>
    </row>
    <row r="196" spans="1:15">
      <c r="A196" s="339"/>
      <c r="B196" s="339"/>
      <c r="C196" s="339"/>
      <c r="D196" s="339"/>
      <c r="E196" s="339"/>
      <c r="F196" s="339"/>
      <c r="H196" s="350" t="s">
        <v>622</v>
      </c>
      <c r="I196" s="356">
        <v>16350</v>
      </c>
      <c r="J196" s="356">
        <v>20157</v>
      </c>
      <c r="K196" s="356">
        <v>1679</v>
      </c>
      <c r="L196" s="446"/>
      <c r="M196">
        <v>9</v>
      </c>
      <c r="N196" s="754">
        <v>736</v>
      </c>
      <c r="O196" s="754">
        <v>691</v>
      </c>
    </row>
    <row r="197" spans="1:15">
      <c r="A197" s="339"/>
      <c r="B197" s="339"/>
      <c r="C197" s="339"/>
      <c r="D197" s="339"/>
      <c r="E197" s="339"/>
      <c r="F197" s="339"/>
      <c r="H197" s="350" t="s">
        <v>8</v>
      </c>
      <c r="I197" s="356">
        <f>‐54‐!B27</f>
        <v>16933</v>
      </c>
      <c r="J197" s="356">
        <f>‐54‐!B28+‐54‐!B29</f>
        <v>21936</v>
      </c>
      <c r="K197" s="356">
        <f>‐54‐!B30+‐54‐!B31</f>
        <v>1825</v>
      </c>
      <c r="L197" s="446"/>
      <c r="M197">
        <v>10</v>
      </c>
      <c r="N197" s="754">
        <v>661</v>
      </c>
      <c r="O197" s="754">
        <v>595</v>
      </c>
    </row>
    <row r="198" spans="1:15">
      <c r="A198" s="339"/>
      <c r="B198" s="339"/>
      <c r="C198" s="339"/>
      <c r="D198" s="339"/>
      <c r="E198" s="339"/>
      <c r="F198" s="339"/>
      <c r="H198" s="350" t="s">
        <v>722</v>
      </c>
      <c r="I198" s="356">
        <f>‐54‐!C27</f>
        <v>18531</v>
      </c>
      <c r="J198" s="356">
        <f>‐54‐!C28+‐54‐!C29</f>
        <v>23767</v>
      </c>
      <c r="K198" s="356">
        <f>‐54‐!C30+‐54‐!C31</f>
        <v>1465</v>
      </c>
      <c r="L198" s="446"/>
      <c r="M198">
        <v>11</v>
      </c>
      <c r="N198" s="754">
        <v>736</v>
      </c>
      <c r="O198" s="754">
        <v>670</v>
      </c>
    </row>
    <row r="199" spans="1:15">
      <c r="A199" s="339"/>
      <c r="B199" s="339"/>
      <c r="C199" s="339"/>
      <c r="D199" s="339"/>
      <c r="E199" s="339"/>
      <c r="F199" s="339"/>
      <c r="M199">
        <v>12</v>
      </c>
      <c r="N199" s="754">
        <v>748</v>
      </c>
      <c r="O199" s="754">
        <v>680</v>
      </c>
    </row>
    <row r="200" spans="1:15">
      <c r="A200" s="339"/>
      <c r="B200" s="339"/>
      <c r="C200" s="339"/>
      <c r="D200" s="339"/>
      <c r="E200" s="339"/>
      <c r="F200" s="339"/>
      <c r="M200">
        <v>13</v>
      </c>
      <c r="N200" s="754">
        <v>702</v>
      </c>
      <c r="O200" s="754">
        <v>696</v>
      </c>
    </row>
    <row r="201" spans="1:15">
      <c r="A201" s="339"/>
      <c r="B201" s="339"/>
      <c r="C201" s="339"/>
      <c r="D201" s="339"/>
      <c r="E201" s="339"/>
      <c r="F201" s="339"/>
      <c r="M201">
        <v>14</v>
      </c>
      <c r="N201" s="754">
        <v>776</v>
      </c>
      <c r="O201" s="754">
        <v>737</v>
      </c>
    </row>
    <row r="202" spans="1:15">
      <c r="A202" s="339"/>
      <c r="B202" s="339"/>
      <c r="C202" s="339"/>
      <c r="D202" s="339"/>
      <c r="E202" s="339"/>
      <c r="F202" s="339"/>
      <c r="M202">
        <v>15</v>
      </c>
      <c r="N202" s="754">
        <v>711</v>
      </c>
      <c r="O202" s="754">
        <v>744</v>
      </c>
    </row>
    <row r="203" spans="1:15">
      <c r="A203" s="339"/>
      <c r="B203" s="339"/>
      <c r="C203" s="339"/>
      <c r="D203" s="339"/>
      <c r="E203" s="339"/>
      <c r="F203" s="339"/>
      <c r="M203">
        <v>16</v>
      </c>
      <c r="N203" s="754">
        <v>753</v>
      </c>
      <c r="O203" s="754">
        <v>730</v>
      </c>
    </row>
    <row r="204" spans="1:15">
      <c r="A204" s="339"/>
      <c r="B204" s="339"/>
      <c r="C204" s="339"/>
      <c r="D204" s="339"/>
      <c r="E204" s="339"/>
      <c r="F204" s="339"/>
      <c r="M204">
        <v>17</v>
      </c>
      <c r="N204" s="754">
        <v>785</v>
      </c>
      <c r="O204" s="754">
        <v>710</v>
      </c>
    </row>
    <row r="205" spans="1:15">
      <c r="A205" s="339"/>
      <c r="B205" s="339"/>
      <c r="C205" s="339"/>
      <c r="D205" s="339"/>
      <c r="E205" s="339"/>
      <c r="F205" s="339"/>
      <c r="H205" s="438"/>
      <c r="I205" s="439"/>
      <c r="J205" s="439"/>
      <c r="K205" s="347"/>
      <c r="L205" s="347"/>
      <c r="M205">
        <v>18</v>
      </c>
      <c r="N205" s="754">
        <v>676</v>
      </c>
      <c r="O205" s="754">
        <v>657</v>
      </c>
    </row>
    <row r="206" spans="1:15">
      <c r="A206" s="339"/>
      <c r="B206" s="339"/>
      <c r="C206" s="339"/>
      <c r="D206" s="339"/>
      <c r="E206" s="339"/>
      <c r="F206" s="339"/>
      <c r="H206" s="438"/>
      <c r="I206" s="1096"/>
      <c r="J206" s="1096"/>
      <c r="K206" s="345"/>
      <c r="L206" s="345"/>
      <c r="M206">
        <v>19</v>
      </c>
      <c r="N206" s="754">
        <v>579</v>
      </c>
      <c r="O206" s="754">
        <v>559</v>
      </c>
    </row>
    <row r="207" spans="1:15">
      <c r="A207" s="339"/>
      <c r="B207" s="339"/>
      <c r="C207" s="339"/>
      <c r="D207" s="339"/>
      <c r="E207" s="339"/>
      <c r="F207" s="339"/>
      <c r="H207" s="438"/>
      <c r="I207" s="1096"/>
      <c r="J207" s="1096"/>
      <c r="K207" s="345"/>
      <c r="L207" s="345"/>
      <c r="M207">
        <v>20</v>
      </c>
      <c r="N207" s="754">
        <v>559</v>
      </c>
      <c r="O207" s="754">
        <v>605</v>
      </c>
    </row>
    <row r="208" spans="1:15">
      <c r="A208" s="339"/>
      <c r="B208" s="339"/>
      <c r="C208" s="339"/>
      <c r="D208" s="339"/>
      <c r="E208" s="339"/>
      <c r="F208" s="339"/>
      <c r="H208" s="439"/>
      <c r="I208" s="440"/>
      <c r="J208" s="440"/>
      <c r="K208" s="345"/>
      <c r="L208" s="345"/>
      <c r="M208">
        <v>21</v>
      </c>
      <c r="N208" s="754">
        <v>571</v>
      </c>
      <c r="O208" s="754">
        <v>556</v>
      </c>
    </row>
    <row r="209" spans="1:15">
      <c r="A209" s="339"/>
      <c r="B209" s="339"/>
      <c r="C209" s="339"/>
      <c r="D209" s="339"/>
      <c r="E209" s="339"/>
      <c r="F209" s="339"/>
      <c r="H209" s="439"/>
      <c r="I209" s="440"/>
      <c r="J209" s="440"/>
      <c r="K209" s="345"/>
      <c r="L209" s="345"/>
      <c r="M209">
        <v>22</v>
      </c>
      <c r="N209" s="754">
        <v>570</v>
      </c>
      <c r="O209" s="754">
        <v>593</v>
      </c>
    </row>
    <row r="210" spans="1:15">
      <c r="A210" s="339"/>
      <c r="B210" s="339"/>
      <c r="C210" s="339"/>
      <c r="D210" s="339"/>
      <c r="E210" s="339"/>
      <c r="F210" s="339"/>
      <c r="H210" s="439"/>
      <c r="I210" s="440"/>
      <c r="J210" s="440"/>
      <c r="K210" s="345"/>
      <c r="L210" s="345"/>
      <c r="M210">
        <v>23</v>
      </c>
      <c r="N210" s="754">
        <v>592</v>
      </c>
      <c r="O210" s="754">
        <v>588</v>
      </c>
    </row>
    <row r="211" spans="1:15">
      <c r="A211" s="339"/>
      <c r="B211" s="339"/>
      <c r="C211" s="339"/>
      <c r="D211" s="339"/>
      <c r="E211" s="339"/>
      <c r="F211" s="339"/>
      <c r="H211" s="439"/>
      <c r="I211" s="440"/>
      <c r="J211" s="440"/>
      <c r="K211" s="345"/>
      <c r="L211" s="345"/>
      <c r="M211">
        <v>24</v>
      </c>
      <c r="N211" s="754">
        <v>617</v>
      </c>
      <c r="O211" s="754">
        <v>586</v>
      </c>
    </row>
    <row r="212" spans="1:15">
      <c r="B212" s="339"/>
      <c r="C212" s="339"/>
      <c r="D212" s="339"/>
      <c r="E212" s="339"/>
      <c r="F212" s="339"/>
      <c r="H212" s="439"/>
      <c r="I212" s="440"/>
      <c r="J212" s="440"/>
      <c r="K212" s="345"/>
      <c r="L212" s="345"/>
      <c r="M212">
        <v>25</v>
      </c>
      <c r="N212" s="754">
        <v>594</v>
      </c>
      <c r="O212" s="754">
        <v>601</v>
      </c>
    </row>
    <row r="213" spans="1:15">
      <c r="B213" s="437" t="s">
        <v>728</v>
      </c>
      <c r="C213" s="339"/>
      <c r="D213" s="339"/>
      <c r="F213" s="339"/>
      <c r="H213" s="439"/>
      <c r="I213" s="440"/>
      <c r="J213" s="440"/>
      <c r="K213" s="345"/>
      <c r="L213" s="345"/>
      <c r="M213">
        <v>26</v>
      </c>
      <c r="N213" s="754">
        <v>601</v>
      </c>
      <c r="O213" s="754">
        <v>616</v>
      </c>
    </row>
    <row r="214" spans="1:15">
      <c r="A214" s="339"/>
      <c r="B214" s="339"/>
      <c r="C214" s="339"/>
      <c r="D214" s="339"/>
      <c r="E214" s="436"/>
      <c r="F214" s="339"/>
      <c r="H214" s="439"/>
      <c r="I214" s="440"/>
      <c r="J214" s="440"/>
      <c r="K214" s="345"/>
      <c r="L214" s="345"/>
      <c r="M214">
        <v>27</v>
      </c>
      <c r="N214" s="754">
        <v>607</v>
      </c>
      <c r="O214" s="754">
        <v>648</v>
      </c>
    </row>
    <row r="215" spans="1:15">
      <c r="A215" s="1095"/>
      <c r="B215" s="1095"/>
      <c r="C215" s="1095" t="s">
        <v>725</v>
      </c>
      <c r="D215" s="1095"/>
      <c r="F215" s="339"/>
      <c r="H215" s="439"/>
      <c r="I215" s="440"/>
      <c r="J215" s="440"/>
      <c r="K215" s="345"/>
      <c r="L215" s="345"/>
      <c r="M215">
        <v>28</v>
      </c>
      <c r="N215" s="754">
        <v>686</v>
      </c>
      <c r="O215" s="754">
        <v>669</v>
      </c>
    </row>
    <row r="216" spans="1:15">
      <c r="A216" s="339"/>
      <c r="B216" s="339"/>
      <c r="C216" s="339"/>
      <c r="D216" s="339"/>
      <c r="E216" s="339"/>
      <c r="F216" s="339"/>
      <c r="H216" s="439"/>
      <c r="I216" s="440"/>
      <c r="J216" s="440"/>
      <c r="K216" s="345"/>
      <c r="L216" s="345"/>
      <c r="M216">
        <v>29</v>
      </c>
      <c r="N216" s="754">
        <v>712</v>
      </c>
      <c r="O216" s="754">
        <v>728</v>
      </c>
    </row>
    <row r="217" spans="1:15">
      <c r="A217" s="339"/>
      <c r="B217" s="339"/>
      <c r="C217" s="339"/>
      <c r="D217" s="339"/>
      <c r="E217" s="339"/>
      <c r="F217" s="339"/>
      <c r="H217" s="439"/>
      <c r="I217" s="440"/>
      <c r="J217" s="440"/>
      <c r="K217" s="345"/>
      <c r="L217" s="345"/>
      <c r="M217">
        <v>30</v>
      </c>
      <c r="N217" s="754">
        <v>701</v>
      </c>
      <c r="O217" s="754">
        <v>754</v>
      </c>
    </row>
    <row r="218" spans="1:15">
      <c r="A218" s="339"/>
      <c r="B218" s="339"/>
      <c r="C218" s="339"/>
      <c r="D218" s="339"/>
      <c r="E218" s="339"/>
      <c r="F218" s="339"/>
      <c r="H218" s="441"/>
      <c r="I218" s="441"/>
      <c r="J218" s="441"/>
      <c r="K218" s="345"/>
      <c r="L218" s="345"/>
      <c r="M218">
        <v>31</v>
      </c>
      <c r="N218" s="754">
        <v>710</v>
      </c>
      <c r="O218" s="754">
        <v>793</v>
      </c>
    </row>
    <row r="219" spans="1:15">
      <c r="A219" s="339"/>
      <c r="B219" s="339"/>
      <c r="C219" s="339"/>
      <c r="D219" s="339"/>
      <c r="E219" s="339"/>
      <c r="F219" s="339"/>
      <c r="H219" s="442"/>
      <c r="I219" s="345"/>
      <c r="J219" s="345"/>
      <c r="K219" s="345"/>
      <c r="L219" s="345"/>
      <c r="M219">
        <v>32</v>
      </c>
      <c r="N219" s="754">
        <v>748</v>
      </c>
      <c r="O219" s="754">
        <v>773</v>
      </c>
    </row>
    <row r="220" spans="1:15">
      <c r="A220" s="339"/>
      <c r="B220" s="339"/>
      <c r="C220" s="339"/>
      <c r="D220" s="339"/>
      <c r="E220" s="339"/>
      <c r="F220" s="339"/>
      <c r="H220" s="442"/>
      <c r="I220" s="347"/>
      <c r="J220" s="347"/>
      <c r="K220" s="345"/>
      <c r="M220">
        <v>33</v>
      </c>
      <c r="N220" s="754">
        <v>698</v>
      </c>
      <c r="O220" s="754">
        <v>746</v>
      </c>
    </row>
    <row r="221" spans="1:15">
      <c r="A221" s="339"/>
      <c r="B221" s="339"/>
      <c r="C221" s="339"/>
      <c r="D221" s="339"/>
      <c r="E221" s="339"/>
      <c r="F221" s="339"/>
      <c r="H221" s="442"/>
      <c r="I221" s="347"/>
      <c r="J221" s="443"/>
      <c r="K221" s="345"/>
      <c r="M221">
        <v>34</v>
      </c>
      <c r="N221" s="754">
        <v>711</v>
      </c>
      <c r="O221" s="754">
        <v>761</v>
      </c>
    </row>
    <row r="222" spans="1:15">
      <c r="A222" s="339"/>
      <c r="B222" s="339"/>
      <c r="C222" s="339"/>
      <c r="D222" s="339"/>
      <c r="E222" s="339"/>
      <c r="F222" s="339"/>
      <c r="H222" s="347"/>
      <c r="I222" s="444"/>
      <c r="J222" s="444"/>
      <c r="K222" s="347"/>
      <c r="M222">
        <v>35</v>
      </c>
      <c r="N222" s="754">
        <v>724</v>
      </c>
      <c r="O222" s="754">
        <v>779</v>
      </c>
    </row>
    <row r="223" spans="1:15">
      <c r="A223" s="339"/>
      <c r="B223" s="339"/>
      <c r="C223" s="339"/>
      <c r="D223" s="339"/>
      <c r="E223" s="339"/>
      <c r="F223" s="339"/>
      <c r="H223" s="347"/>
      <c r="I223" s="444"/>
      <c r="J223" s="444"/>
      <c r="K223" s="345"/>
      <c r="M223">
        <v>36</v>
      </c>
      <c r="N223" s="754">
        <v>757</v>
      </c>
      <c r="O223" s="754">
        <v>806</v>
      </c>
    </row>
    <row r="224" spans="1:15">
      <c r="H224" s="347"/>
      <c r="I224" s="444"/>
      <c r="J224" s="444"/>
      <c r="K224" s="345"/>
      <c r="M224">
        <v>37</v>
      </c>
      <c r="N224" s="754">
        <v>783</v>
      </c>
      <c r="O224" s="754">
        <v>826</v>
      </c>
    </row>
    <row r="225" spans="8:15">
      <c r="H225" s="347"/>
      <c r="I225" s="444"/>
      <c r="J225" s="444"/>
      <c r="K225" s="345"/>
      <c r="M225">
        <v>38</v>
      </c>
      <c r="N225" s="754">
        <v>766</v>
      </c>
      <c r="O225" s="754">
        <v>836</v>
      </c>
    </row>
    <row r="226" spans="8:15">
      <c r="H226" s="347"/>
      <c r="I226" s="444"/>
      <c r="J226" s="444"/>
      <c r="K226" s="345"/>
      <c r="M226">
        <v>39</v>
      </c>
      <c r="N226" s="754">
        <v>806</v>
      </c>
      <c r="O226" s="754">
        <v>868</v>
      </c>
    </row>
    <row r="227" spans="8:15">
      <c r="H227" s="347"/>
      <c r="I227" s="444"/>
      <c r="J227" s="345"/>
      <c r="K227" s="345"/>
      <c r="M227">
        <v>40</v>
      </c>
      <c r="N227" s="754">
        <v>908</v>
      </c>
      <c r="O227" s="754">
        <v>906</v>
      </c>
    </row>
    <row r="228" spans="8:15">
      <c r="H228" s="347"/>
      <c r="I228" s="444"/>
      <c r="J228" s="345"/>
      <c r="K228" s="345"/>
      <c r="M228">
        <v>41</v>
      </c>
      <c r="N228" s="754">
        <v>963</v>
      </c>
      <c r="O228" s="758">
        <v>1016</v>
      </c>
    </row>
    <row r="229" spans="8:15">
      <c r="H229" s="347"/>
      <c r="I229" s="444"/>
      <c r="J229" s="345"/>
      <c r="K229" s="345"/>
      <c r="M229">
        <v>42</v>
      </c>
      <c r="N229" s="754">
        <v>927</v>
      </c>
      <c r="O229" s="754">
        <v>973</v>
      </c>
    </row>
    <row r="230" spans="8:15">
      <c r="H230" s="345"/>
      <c r="I230" s="345"/>
      <c r="J230" s="345"/>
      <c r="K230" s="345"/>
      <c r="M230">
        <v>43</v>
      </c>
      <c r="N230" s="754">
        <v>881</v>
      </c>
      <c r="O230" s="754">
        <v>913</v>
      </c>
    </row>
    <row r="231" spans="8:15">
      <c r="H231" s="345"/>
      <c r="I231" s="345"/>
      <c r="J231" s="345"/>
      <c r="K231" s="345"/>
      <c r="M231">
        <v>44</v>
      </c>
      <c r="N231" s="754">
        <v>854</v>
      </c>
      <c r="O231" s="754">
        <v>885</v>
      </c>
    </row>
    <row r="232" spans="8:15">
      <c r="M232">
        <v>45</v>
      </c>
      <c r="N232" s="754">
        <v>799</v>
      </c>
      <c r="O232" s="754">
        <v>861</v>
      </c>
    </row>
    <row r="233" spans="8:15">
      <c r="M233">
        <v>46</v>
      </c>
      <c r="N233" s="754">
        <v>836</v>
      </c>
      <c r="O233" s="754">
        <v>843</v>
      </c>
    </row>
    <row r="234" spans="8:15">
      <c r="M234">
        <v>47</v>
      </c>
      <c r="N234" s="754">
        <v>813</v>
      </c>
      <c r="O234" s="754">
        <v>886</v>
      </c>
    </row>
    <row r="235" spans="8:15">
      <c r="M235">
        <v>48</v>
      </c>
      <c r="N235" s="754">
        <v>806</v>
      </c>
      <c r="O235" s="754">
        <v>840</v>
      </c>
    </row>
    <row r="236" spans="8:15">
      <c r="M236">
        <v>49</v>
      </c>
      <c r="N236" s="754">
        <v>624</v>
      </c>
      <c r="O236" s="754">
        <v>687</v>
      </c>
    </row>
    <row r="237" spans="8:15">
      <c r="M237">
        <v>50</v>
      </c>
      <c r="N237" s="754">
        <v>700</v>
      </c>
      <c r="O237" s="754">
        <v>749</v>
      </c>
    </row>
    <row r="238" spans="8:15">
      <c r="H238" s="1094"/>
      <c r="I238" s="1094"/>
      <c r="M238">
        <v>51</v>
      </c>
      <c r="N238" s="754">
        <v>713</v>
      </c>
      <c r="O238" s="754">
        <v>737</v>
      </c>
    </row>
    <row r="239" spans="8:15">
      <c r="H239" s="347"/>
      <c r="I239" s="444"/>
      <c r="M239">
        <v>52</v>
      </c>
      <c r="N239" s="754">
        <v>703</v>
      </c>
      <c r="O239" s="754">
        <v>796</v>
      </c>
    </row>
    <row r="240" spans="8:15">
      <c r="H240" s="347"/>
      <c r="I240" s="444"/>
      <c r="M240">
        <v>53</v>
      </c>
      <c r="N240" s="754">
        <v>629</v>
      </c>
      <c r="O240" s="754">
        <v>714</v>
      </c>
    </row>
    <row r="241" spans="8:15">
      <c r="H241" s="347"/>
      <c r="I241" s="444"/>
      <c r="M241">
        <v>54</v>
      </c>
      <c r="N241" s="754">
        <v>718</v>
      </c>
      <c r="O241" s="754">
        <v>746</v>
      </c>
    </row>
    <row r="242" spans="8:15">
      <c r="H242" s="347"/>
      <c r="I242" s="444"/>
      <c r="L242" s="351"/>
      <c r="M242">
        <v>55</v>
      </c>
      <c r="N242" s="754">
        <v>675</v>
      </c>
      <c r="O242" s="754">
        <v>691</v>
      </c>
    </row>
    <row r="243" spans="8:15">
      <c r="H243" s="347"/>
      <c r="I243" s="444"/>
      <c r="M243">
        <v>56</v>
      </c>
      <c r="N243" s="754">
        <v>691</v>
      </c>
      <c r="O243" s="754">
        <v>686</v>
      </c>
    </row>
    <row r="244" spans="8:15">
      <c r="M244">
        <v>57</v>
      </c>
      <c r="N244" s="754">
        <v>687</v>
      </c>
      <c r="O244" s="754">
        <v>647</v>
      </c>
    </row>
    <row r="245" spans="8:15">
      <c r="M245">
        <v>58</v>
      </c>
      <c r="N245" s="754">
        <v>621</v>
      </c>
      <c r="O245" s="754">
        <v>675</v>
      </c>
    </row>
    <row r="246" spans="8:15">
      <c r="M246">
        <v>59</v>
      </c>
      <c r="N246" s="754">
        <v>614</v>
      </c>
      <c r="O246" s="754">
        <v>639</v>
      </c>
    </row>
    <row r="247" spans="8:15">
      <c r="M247">
        <v>60</v>
      </c>
      <c r="N247" s="754">
        <v>655</v>
      </c>
      <c r="O247" s="754">
        <v>697</v>
      </c>
    </row>
    <row r="248" spans="8:15">
      <c r="M248">
        <v>61</v>
      </c>
      <c r="N248" s="754">
        <v>653</v>
      </c>
      <c r="O248" s="754">
        <v>733</v>
      </c>
    </row>
    <row r="249" spans="8:15">
      <c r="M249">
        <v>62</v>
      </c>
      <c r="N249" s="754">
        <v>689</v>
      </c>
      <c r="O249" s="754">
        <v>706</v>
      </c>
    </row>
    <row r="250" spans="8:15">
      <c r="M250">
        <v>63</v>
      </c>
      <c r="N250" s="754">
        <v>691</v>
      </c>
      <c r="O250" s="754">
        <v>756</v>
      </c>
    </row>
    <row r="251" spans="8:15">
      <c r="M251">
        <v>64</v>
      </c>
      <c r="N251" s="754">
        <v>686</v>
      </c>
      <c r="O251" s="754">
        <v>759</v>
      </c>
    </row>
    <row r="252" spans="8:15">
      <c r="M252">
        <v>65</v>
      </c>
      <c r="N252" s="754">
        <v>698</v>
      </c>
      <c r="O252" s="754">
        <v>733</v>
      </c>
    </row>
    <row r="253" spans="8:15">
      <c r="M253">
        <v>66</v>
      </c>
      <c r="N253" s="754">
        <v>655</v>
      </c>
      <c r="O253" s="754">
        <v>671</v>
      </c>
    </row>
    <row r="254" spans="8:15">
      <c r="M254">
        <v>67</v>
      </c>
      <c r="N254" s="754">
        <v>702</v>
      </c>
      <c r="O254" s="754">
        <v>721</v>
      </c>
    </row>
    <row r="255" spans="8:15">
      <c r="M255">
        <v>68</v>
      </c>
      <c r="N255" s="754">
        <v>557</v>
      </c>
      <c r="O255" s="754">
        <v>564</v>
      </c>
    </row>
    <row r="256" spans="8:15">
      <c r="M256">
        <v>69</v>
      </c>
      <c r="N256" s="754">
        <v>271</v>
      </c>
      <c r="O256" s="754">
        <v>291</v>
      </c>
    </row>
    <row r="257" spans="13:15">
      <c r="M257">
        <v>70</v>
      </c>
      <c r="N257" s="754">
        <v>297</v>
      </c>
      <c r="O257" s="754">
        <v>338</v>
      </c>
    </row>
    <row r="258" spans="13:15">
      <c r="M258">
        <v>71</v>
      </c>
      <c r="N258" s="754">
        <v>404</v>
      </c>
      <c r="O258" s="754">
        <v>453</v>
      </c>
    </row>
    <row r="259" spans="13:15">
      <c r="M259">
        <v>72</v>
      </c>
      <c r="N259" s="754">
        <v>396</v>
      </c>
      <c r="O259" s="754">
        <v>455</v>
      </c>
    </row>
    <row r="260" spans="13:15">
      <c r="M260">
        <v>73</v>
      </c>
      <c r="N260" s="754">
        <v>430</v>
      </c>
      <c r="O260" s="754">
        <v>474</v>
      </c>
    </row>
    <row r="261" spans="13:15">
      <c r="M261">
        <v>74</v>
      </c>
      <c r="N261" s="754">
        <v>446</v>
      </c>
      <c r="O261" s="754">
        <v>504</v>
      </c>
    </row>
    <row r="262" spans="13:15">
      <c r="M262">
        <v>75</v>
      </c>
      <c r="N262" s="754">
        <v>415</v>
      </c>
      <c r="O262" s="754">
        <v>476</v>
      </c>
    </row>
    <row r="263" spans="13:15">
      <c r="M263">
        <v>76</v>
      </c>
      <c r="N263" s="754">
        <v>387</v>
      </c>
      <c r="O263" s="754">
        <v>446</v>
      </c>
    </row>
    <row r="264" spans="13:15">
      <c r="M264">
        <v>77</v>
      </c>
      <c r="N264" s="754">
        <v>395</v>
      </c>
      <c r="O264" s="754">
        <v>429</v>
      </c>
    </row>
    <row r="265" spans="13:15">
      <c r="M265">
        <v>78</v>
      </c>
      <c r="N265" s="754">
        <v>343</v>
      </c>
      <c r="O265" s="754">
        <v>430</v>
      </c>
    </row>
    <row r="266" spans="13:15">
      <c r="M266">
        <v>79</v>
      </c>
      <c r="N266" s="754">
        <v>341</v>
      </c>
      <c r="O266" s="754">
        <v>440</v>
      </c>
    </row>
    <row r="267" spans="13:15">
      <c r="M267">
        <v>80</v>
      </c>
      <c r="N267" s="754">
        <v>297</v>
      </c>
      <c r="O267" s="754">
        <v>373</v>
      </c>
    </row>
    <row r="268" spans="13:15">
      <c r="M268">
        <v>81</v>
      </c>
      <c r="N268" s="754">
        <v>261</v>
      </c>
      <c r="O268" s="754">
        <v>407</v>
      </c>
    </row>
    <row r="269" spans="13:15">
      <c r="M269">
        <v>82</v>
      </c>
      <c r="N269" s="754">
        <v>264</v>
      </c>
      <c r="O269" s="754">
        <v>321</v>
      </c>
    </row>
    <row r="270" spans="13:15">
      <c r="M270">
        <v>83</v>
      </c>
      <c r="N270" s="754">
        <v>215</v>
      </c>
      <c r="O270" s="754">
        <v>312</v>
      </c>
    </row>
    <row r="271" spans="13:15">
      <c r="M271">
        <v>84</v>
      </c>
      <c r="N271" s="754">
        <v>140</v>
      </c>
      <c r="O271" s="754">
        <v>259</v>
      </c>
    </row>
    <row r="272" spans="13:15">
      <c r="M272">
        <v>85</v>
      </c>
      <c r="N272" s="754">
        <v>170</v>
      </c>
      <c r="O272" s="754">
        <v>238</v>
      </c>
    </row>
    <row r="273" spans="13:15">
      <c r="M273">
        <v>86</v>
      </c>
      <c r="N273" s="754">
        <v>121</v>
      </c>
      <c r="O273" s="754">
        <v>234</v>
      </c>
    </row>
    <row r="274" spans="13:15">
      <c r="M274">
        <v>87</v>
      </c>
      <c r="N274" s="754">
        <v>103</v>
      </c>
      <c r="O274" s="754">
        <v>218</v>
      </c>
    </row>
    <row r="275" spans="13:15">
      <c r="M275">
        <v>88</v>
      </c>
      <c r="N275" s="754">
        <v>76</v>
      </c>
      <c r="O275" s="754">
        <v>169</v>
      </c>
    </row>
    <row r="276" spans="13:15">
      <c r="M276">
        <v>89</v>
      </c>
      <c r="N276" s="754">
        <v>58</v>
      </c>
      <c r="O276" s="754">
        <v>178</v>
      </c>
    </row>
    <row r="277" spans="13:15">
      <c r="M277">
        <v>90</v>
      </c>
      <c r="N277" s="754">
        <v>42</v>
      </c>
      <c r="O277" s="754">
        <v>129</v>
      </c>
    </row>
    <row r="278" spans="13:15">
      <c r="M278">
        <v>91</v>
      </c>
      <c r="N278" s="754">
        <v>41</v>
      </c>
      <c r="O278" s="754">
        <v>103</v>
      </c>
    </row>
    <row r="279" spans="13:15">
      <c r="M279">
        <v>92</v>
      </c>
      <c r="N279" s="754">
        <v>41</v>
      </c>
      <c r="O279" s="754">
        <v>104</v>
      </c>
    </row>
    <row r="280" spans="13:15">
      <c r="M280">
        <v>93</v>
      </c>
      <c r="N280" s="754">
        <v>20</v>
      </c>
      <c r="O280" s="754">
        <v>83</v>
      </c>
    </row>
    <row r="281" spans="13:15">
      <c r="M281">
        <v>94</v>
      </c>
      <c r="N281" s="754">
        <v>18</v>
      </c>
      <c r="O281" s="754">
        <v>60</v>
      </c>
    </row>
    <row r="282" spans="13:15">
      <c r="M282">
        <v>95</v>
      </c>
      <c r="N282" s="754">
        <v>7</v>
      </c>
      <c r="O282" s="754">
        <v>54</v>
      </c>
    </row>
    <row r="283" spans="13:15">
      <c r="M283">
        <v>96</v>
      </c>
      <c r="N283" s="754">
        <v>10</v>
      </c>
      <c r="O283" s="754">
        <v>56</v>
      </c>
    </row>
    <row r="284" spans="13:15">
      <c r="M284">
        <v>97</v>
      </c>
      <c r="N284" s="754">
        <v>9</v>
      </c>
      <c r="O284" s="754">
        <v>23</v>
      </c>
    </row>
    <row r="285" spans="13:15">
      <c r="M285">
        <v>98</v>
      </c>
      <c r="N285" s="754" t="s">
        <v>149</v>
      </c>
      <c r="O285" s="754">
        <v>26</v>
      </c>
    </row>
    <row r="286" spans="13:15">
      <c r="M286">
        <v>99</v>
      </c>
      <c r="N286" s="754">
        <v>9</v>
      </c>
      <c r="O286" s="754">
        <v>27</v>
      </c>
    </row>
    <row r="287" spans="13:15">
      <c r="M287" t="s">
        <v>14</v>
      </c>
      <c r="N287" s="754">
        <v>10</v>
      </c>
      <c r="O287" s="754">
        <v>28</v>
      </c>
    </row>
    <row r="289" spans="13:21">
      <c r="N289" s="337">
        <f>SUM(N187:N288)</f>
        <v>54844</v>
      </c>
      <c r="O289" s="337">
        <f>SUM(O187:O288)</f>
        <v>58168</v>
      </c>
      <c r="P289" s="337">
        <f>N289+O289</f>
        <v>113012</v>
      </c>
      <c r="R289" s="345"/>
      <c r="S289" s="345"/>
      <c r="T289" s="345"/>
      <c r="U289" s="345"/>
    </row>
    <row r="290" spans="13:21">
      <c r="M290" s="337" t="s">
        <v>724</v>
      </c>
      <c r="N290" s="754">
        <v>627</v>
      </c>
      <c r="O290" s="754">
        <v>593</v>
      </c>
      <c r="P290" s="337">
        <f>N290+O290</f>
        <v>1220</v>
      </c>
      <c r="Q290" s="337" t="s">
        <v>727</v>
      </c>
      <c r="R290" s="345"/>
      <c r="S290" s="345"/>
      <c r="T290" s="345"/>
    </row>
    <row r="291" spans="13:21">
      <c r="R291" s="345"/>
      <c r="S291" s="345"/>
      <c r="T291" s="345"/>
    </row>
    <row r="292" spans="13:21">
      <c r="M292" s="337" t="s">
        <v>719</v>
      </c>
      <c r="N292" s="337">
        <f>SUM(N289:N290)</f>
        <v>55471</v>
      </c>
      <c r="O292" s="337">
        <f>SUM(O289:O290)</f>
        <v>58761</v>
      </c>
      <c r="P292" s="337">
        <f>SUM(P289:P290)</f>
        <v>114232</v>
      </c>
      <c r="R292" s="345"/>
      <c r="S292" s="345"/>
      <c r="T292" s="345"/>
    </row>
    <row r="293" spans="13:21">
      <c r="R293" s="345"/>
      <c r="S293" s="345"/>
      <c r="T293" s="345"/>
    </row>
    <row r="294" spans="13:21">
      <c r="M294" s="337" t="s">
        <v>726</v>
      </c>
      <c r="R294" s="345"/>
      <c r="S294" s="345"/>
      <c r="T294" s="345"/>
    </row>
    <row r="295" spans="13:21">
      <c r="R295" s="345"/>
      <c r="S295" s="345"/>
      <c r="T295" s="345"/>
    </row>
  </sheetData>
  <mergeCells count="19">
    <mergeCell ref="J17:K17"/>
    <mergeCell ref="J18:K18"/>
    <mergeCell ref="J19:K19"/>
    <mergeCell ref="J20:K20"/>
    <mergeCell ref="J21:K21"/>
    <mergeCell ref="J22:K22"/>
    <mergeCell ref="J28:K28"/>
    <mergeCell ref="J29:K29"/>
    <mergeCell ref="J206:J207"/>
    <mergeCell ref="J27:K27"/>
    <mergeCell ref="J24:K24"/>
    <mergeCell ref="J25:K25"/>
    <mergeCell ref="J23:K23"/>
    <mergeCell ref="J26:K26"/>
    <mergeCell ref="H238:I238"/>
    <mergeCell ref="A215:B215"/>
    <mergeCell ref="I206:I207"/>
    <mergeCell ref="A187:B187"/>
    <mergeCell ref="C215:D215"/>
  </mergeCells>
  <phoneticPr fontId="19"/>
  <pageMargins left="0.59055118110236227" right="0.59055118110236227" top="0.59055118110236227" bottom="0.59055118110236227" header="0.39370078740157483" footer="0.39370078740157483"/>
  <pageSetup paperSize="9" firstPageNumber="3" orientation="portrait" useFirstPageNumber="1" r:id="rId1"/>
  <headerFooter scaleWithDoc="0" alignWithMargins="0">
    <oddFooter>&amp;C&amp;"ＭＳ 明朝,標準"－&amp;12&amp;P&amp;11－</oddFooter>
  </headerFooter>
  <rowBreaks count="3" manualBreakCount="3">
    <brk id="61" max="5" man="1"/>
    <brk id="122" max="5" man="1"/>
    <brk id="183"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view="pageBreakPreview" zoomScaleNormal="120" zoomScaleSheetLayoutView="100" workbookViewId="0">
      <pane ySplit="6" topLeftCell="A7" activePane="bottomLeft" state="frozen"/>
      <selection pane="bottomLeft" activeCell="B5" sqref="B5"/>
    </sheetView>
  </sheetViews>
  <sheetFormatPr defaultRowHeight="17.100000000000001" customHeight="1"/>
  <cols>
    <col min="1" max="1" width="11.875" style="244" customWidth="1"/>
    <col min="2" max="4" width="11.25" style="12" customWidth="1"/>
    <col min="5" max="5" width="11.875" style="244" customWidth="1"/>
    <col min="6" max="8" width="11.25" style="12" customWidth="1"/>
    <col min="9" max="9" width="11.875" style="13" customWidth="1"/>
    <col min="10" max="12" width="11.25" style="12" customWidth="1"/>
    <col min="13" max="13" width="11.875" style="12" customWidth="1"/>
    <col min="14" max="16" width="11.25" style="12" customWidth="1"/>
    <col min="17" max="16384" width="9" style="12"/>
  </cols>
  <sheetData>
    <row r="1" spans="1:16" ht="5.0999999999999996" customHeight="1">
      <c r="A1" s="14"/>
      <c r="B1" s="15"/>
      <c r="C1" s="15"/>
      <c r="D1" s="15"/>
      <c r="E1" s="245"/>
      <c r="G1" s="15"/>
      <c r="H1" s="16"/>
      <c r="I1" s="14" t="s">
        <v>30</v>
      </c>
      <c r="J1" s="15"/>
      <c r="K1" s="15"/>
      <c r="L1" s="15"/>
      <c r="M1" s="245"/>
      <c r="O1" s="15"/>
      <c r="P1" s="16"/>
    </row>
    <row r="2" spans="1:16" ht="15" customHeight="1" thickBot="1">
      <c r="A2" s="245" t="s">
        <v>628</v>
      </c>
      <c r="B2" s="15"/>
      <c r="C2" s="15"/>
      <c r="D2" s="15"/>
      <c r="E2" s="245"/>
      <c r="G2" s="15"/>
      <c r="H2" s="16"/>
      <c r="I2" s="14"/>
      <c r="J2" s="15"/>
      <c r="K2" s="15"/>
      <c r="L2" s="15"/>
      <c r="M2" s="245"/>
      <c r="O2" s="15"/>
      <c r="P2" s="16" t="s">
        <v>31</v>
      </c>
    </row>
    <row r="3" spans="1:16" ht="24" customHeight="1">
      <c r="A3" s="223" t="s">
        <v>32</v>
      </c>
      <c r="B3" s="125" t="s">
        <v>33</v>
      </c>
      <c r="C3" s="125" t="s">
        <v>21</v>
      </c>
      <c r="D3" s="195" t="s">
        <v>22</v>
      </c>
      <c r="E3" s="125" t="s">
        <v>32</v>
      </c>
      <c r="F3" s="125" t="s">
        <v>33</v>
      </c>
      <c r="G3" s="125" t="s">
        <v>21</v>
      </c>
      <c r="H3" s="195" t="s">
        <v>22</v>
      </c>
      <c r="I3" s="195" t="s">
        <v>32</v>
      </c>
      <c r="J3" s="125" t="s">
        <v>33</v>
      </c>
      <c r="K3" s="125" t="s">
        <v>21</v>
      </c>
      <c r="L3" s="195" t="s">
        <v>22</v>
      </c>
      <c r="M3" s="125" t="s">
        <v>32</v>
      </c>
      <c r="N3" s="125" t="s">
        <v>33</v>
      </c>
      <c r="O3" s="125" t="s">
        <v>21</v>
      </c>
      <c r="P3" s="200" t="s">
        <v>22</v>
      </c>
    </row>
    <row r="4" spans="1:16" ht="7.5" customHeight="1">
      <c r="A4" s="227"/>
      <c r="B4" s="28"/>
      <c r="C4" s="240"/>
      <c r="D4" s="224"/>
      <c r="E4" s="18"/>
      <c r="F4" s="28"/>
      <c r="G4" s="240"/>
      <c r="H4" s="241"/>
      <c r="I4" s="19"/>
      <c r="J4" s="28"/>
      <c r="K4" s="240"/>
      <c r="L4" s="224"/>
      <c r="M4" s="18"/>
      <c r="N4" s="28"/>
      <c r="O4" s="240"/>
      <c r="P4" s="243"/>
    </row>
    <row r="5" spans="1:16" ht="16.5" customHeight="1">
      <c r="A5" s="229" t="s">
        <v>34</v>
      </c>
      <c r="B5" s="719">
        <f>SUM(C5:D5)</f>
        <v>114337</v>
      </c>
      <c r="C5" s="703">
        <f>C12+C19+‐40‐!C26+C33+C40+C47+G12+G19+G26+G33+G40+G47+K12+K19+K26+K33+K40+K47+O12+O19+O26+O28</f>
        <v>55787</v>
      </c>
      <c r="D5" s="703">
        <f>D12+D19+D26+D33+D40+D47+H12+H19+H26+H33+H40+H47+L12+L19+L26+L33+L40+L47+P12+P19+P26+P28</f>
        <v>58550</v>
      </c>
      <c r="E5" s="21"/>
      <c r="F5" s="21"/>
      <c r="G5" s="701"/>
      <c r="H5" s="720"/>
      <c r="I5" s="22"/>
      <c r="J5" s="21"/>
      <c r="K5" s="701"/>
      <c r="L5" s="720"/>
      <c r="M5" s="21"/>
      <c r="N5" s="21"/>
      <c r="O5" s="701"/>
      <c r="P5" s="214"/>
    </row>
    <row r="6" spans="1:16" ht="16.5" customHeight="1">
      <c r="A6" s="228"/>
      <c r="B6" s="23"/>
      <c r="C6" s="702"/>
      <c r="D6" s="721"/>
      <c r="E6" s="21"/>
      <c r="F6" s="21"/>
      <c r="G6" s="701"/>
      <c r="H6" s="720"/>
      <c r="I6" s="22"/>
      <c r="J6" s="21"/>
      <c r="K6" s="701"/>
      <c r="L6" s="720"/>
      <c r="M6" s="21"/>
      <c r="N6" s="21"/>
      <c r="O6" s="701"/>
      <c r="P6" s="214"/>
    </row>
    <row r="7" spans="1:16" ht="16.5" customHeight="1">
      <c r="A7" s="230" t="s">
        <v>35</v>
      </c>
      <c r="B7" s="23">
        <f>SUM(C7:D7)</f>
        <v>1321</v>
      </c>
      <c r="C7" s="702">
        <v>673</v>
      </c>
      <c r="D7" s="721">
        <v>648</v>
      </c>
      <c r="E7" s="705">
        <v>30</v>
      </c>
      <c r="F7" s="23">
        <f>SUM(G7:H7)</f>
        <v>1500</v>
      </c>
      <c r="G7" s="702">
        <v>746</v>
      </c>
      <c r="H7" s="721">
        <v>754</v>
      </c>
      <c r="I7" s="706">
        <v>60</v>
      </c>
      <c r="J7" s="23">
        <f>K7+L7</f>
        <v>1275</v>
      </c>
      <c r="K7" s="702">
        <v>616</v>
      </c>
      <c r="L7" s="721">
        <v>659</v>
      </c>
      <c r="M7" s="705">
        <v>90</v>
      </c>
      <c r="N7" s="23">
        <f>O7+P7</f>
        <v>175</v>
      </c>
      <c r="O7" s="702">
        <v>46</v>
      </c>
      <c r="P7" s="722">
        <v>129</v>
      </c>
    </row>
    <row r="8" spans="1:16" ht="16.5" customHeight="1">
      <c r="A8" s="230" t="s">
        <v>36</v>
      </c>
      <c r="B8" s="23">
        <f t="shared" ref="B8:B11" si="0">SUM(C8:D8)</f>
        <v>1365</v>
      </c>
      <c r="C8" s="702">
        <v>683</v>
      </c>
      <c r="D8" s="721">
        <v>682</v>
      </c>
      <c r="E8" s="705">
        <v>31</v>
      </c>
      <c r="F8" s="23">
        <f t="shared" ref="F8:F11" si="1">SUM(G8:H8)</f>
        <v>1479</v>
      </c>
      <c r="G8" s="702">
        <v>720</v>
      </c>
      <c r="H8" s="721">
        <v>759</v>
      </c>
      <c r="I8" s="706">
        <v>61</v>
      </c>
      <c r="J8" s="23">
        <f>K8+L8</f>
        <v>1320</v>
      </c>
      <c r="K8" s="702">
        <v>646</v>
      </c>
      <c r="L8" s="721">
        <v>674</v>
      </c>
      <c r="M8" s="705">
        <v>91</v>
      </c>
      <c r="N8" s="23">
        <f>O8+P8</f>
        <v>168</v>
      </c>
      <c r="O8" s="702">
        <v>37</v>
      </c>
      <c r="P8" s="722">
        <v>131</v>
      </c>
    </row>
    <row r="9" spans="1:16" ht="16.5" customHeight="1">
      <c r="A9" s="230" t="s">
        <v>37</v>
      </c>
      <c r="B9" s="23">
        <f t="shared" si="0"/>
        <v>1335</v>
      </c>
      <c r="C9" s="702">
        <v>679</v>
      </c>
      <c r="D9" s="721">
        <v>656</v>
      </c>
      <c r="E9" s="705">
        <v>32</v>
      </c>
      <c r="F9" s="23">
        <f t="shared" si="1"/>
        <v>1563</v>
      </c>
      <c r="G9" s="702">
        <v>766</v>
      </c>
      <c r="H9" s="721">
        <v>797</v>
      </c>
      <c r="I9" s="706">
        <v>62</v>
      </c>
      <c r="J9" s="23">
        <f>K9+L9</f>
        <v>1363</v>
      </c>
      <c r="K9" s="702">
        <v>641</v>
      </c>
      <c r="L9" s="721">
        <v>722</v>
      </c>
      <c r="M9" s="705">
        <v>92</v>
      </c>
      <c r="N9" s="23">
        <f>O9+P9</f>
        <v>113</v>
      </c>
      <c r="O9" s="702">
        <v>29</v>
      </c>
      <c r="P9" s="722">
        <v>84</v>
      </c>
    </row>
    <row r="10" spans="1:16" ht="16.5" customHeight="1">
      <c r="A10" s="230" t="s">
        <v>38</v>
      </c>
      <c r="B10" s="23">
        <f t="shared" si="0"/>
        <v>1366</v>
      </c>
      <c r="C10" s="702">
        <v>690</v>
      </c>
      <c r="D10" s="721">
        <v>676</v>
      </c>
      <c r="E10" s="705">
        <v>33</v>
      </c>
      <c r="F10" s="23">
        <f t="shared" si="1"/>
        <v>1505</v>
      </c>
      <c r="G10" s="702">
        <v>758</v>
      </c>
      <c r="H10" s="721">
        <v>747</v>
      </c>
      <c r="I10" s="706">
        <v>63</v>
      </c>
      <c r="J10" s="23">
        <f>K10+L10</f>
        <v>1387</v>
      </c>
      <c r="K10" s="702">
        <v>668</v>
      </c>
      <c r="L10" s="721">
        <v>719</v>
      </c>
      <c r="M10" s="705">
        <v>93</v>
      </c>
      <c r="N10" s="23">
        <f>O10+P10</f>
        <v>111</v>
      </c>
      <c r="O10" s="702">
        <v>30</v>
      </c>
      <c r="P10" s="722">
        <v>81</v>
      </c>
    </row>
    <row r="11" spans="1:16" ht="16.5" customHeight="1">
      <c r="A11" s="230" t="s">
        <v>39</v>
      </c>
      <c r="B11" s="23">
        <f t="shared" si="0"/>
        <v>1450</v>
      </c>
      <c r="C11" s="702">
        <v>728</v>
      </c>
      <c r="D11" s="721">
        <v>722</v>
      </c>
      <c r="E11" s="705">
        <v>34</v>
      </c>
      <c r="F11" s="23">
        <f t="shared" si="1"/>
        <v>1476</v>
      </c>
      <c r="G11" s="702">
        <v>726</v>
      </c>
      <c r="H11" s="721">
        <v>750</v>
      </c>
      <c r="I11" s="706">
        <v>64</v>
      </c>
      <c r="J11" s="23">
        <f>K11+L11</f>
        <v>1436</v>
      </c>
      <c r="K11" s="702">
        <v>695</v>
      </c>
      <c r="L11" s="721">
        <v>741</v>
      </c>
      <c r="M11" s="705">
        <v>94</v>
      </c>
      <c r="N11" s="23">
        <f>O11+P11</f>
        <v>101</v>
      </c>
      <c r="O11" s="702">
        <v>21</v>
      </c>
      <c r="P11" s="722">
        <v>80</v>
      </c>
    </row>
    <row r="12" spans="1:16" ht="16.5" customHeight="1">
      <c r="A12" s="231" t="s">
        <v>40</v>
      </c>
      <c r="B12" s="719">
        <f>SUM(B7:B11)</f>
        <v>6837</v>
      </c>
      <c r="C12" s="703">
        <f>SUM(C7:C11)</f>
        <v>3453</v>
      </c>
      <c r="D12" s="703">
        <f>SUM(D7:D11)</f>
        <v>3384</v>
      </c>
      <c r="E12" s="20" t="s">
        <v>41</v>
      </c>
      <c r="F12" s="719">
        <f>SUM(F7:F11)</f>
        <v>7523</v>
      </c>
      <c r="G12" s="703">
        <f>SUM(G7:G11)</f>
        <v>3716</v>
      </c>
      <c r="H12" s="723">
        <f>SUM(H7:H11)</f>
        <v>3807</v>
      </c>
      <c r="I12" s="24" t="s">
        <v>42</v>
      </c>
      <c r="J12" s="719">
        <f>SUM(J7:J11)</f>
        <v>6781</v>
      </c>
      <c r="K12" s="703">
        <f>SUM(K7:K11)</f>
        <v>3266</v>
      </c>
      <c r="L12" s="703">
        <f>SUM(L7:L11)</f>
        <v>3515</v>
      </c>
      <c r="M12" s="20" t="s">
        <v>43</v>
      </c>
      <c r="N12" s="719">
        <f>SUM(N7:N11)</f>
        <v>668</v>
      </c>
      <c r="O12" s="703">
        <f>SUM(O7:O11)</f>
        <v>163</v>
      </c>
      <c r="P12" s="724">
        <f>SUM(P7:P11)</f>
        <v>505</v>
      </c>
    </row>
    <row r="13" spans="1:16" ht="16.5" customHeight="1">
      <c r="A13" s="232"/>
      <c r="B13" s="23"/>
      <c r="C13" s="702"/>
      <c r="D13" s="721"/>
      <c r="E13" s="21"/>
      <c r="F13" s="23"/>
      <c r="G13" s="702"/>
      <c r="H13" s="721"/>
      <c r="I13" s="21"/>
      <c r="J13" s="23"/>
      <c r="K13" s="702"/>
      <c r="L13" s="721"/>
      <c r="M13" s="21"/>
      <c r="N13" s="23"/>
      <c r="O13" s="702"/>
      <c r="P13" s="722"/>
    </row>
    <row r="14" spans="1:16" ht="16.5" customHeight="1">
      <c r="A14" s="230" t="s">
        <v>44</v>
      </c>
      <c r="B14" s="23">
        <f>SUM(C14:D14)</f>
        <v>1422</v>
      </c>
      <c r="C14" s="702">
        <v>703</v>
      </c>
      <c r="D14" s="721">
        <v>719</v>
      </c>
      <c r="E14" s="705">
        <v>35</v>
      </c>
      <c r="F14" s="23">
        <f>SUM(G14:H14)</f>
        <v>1473</v>
      </c>
      <c r="G14" s="702">
        <v>699</v>
      </c>
      <c r="H14" s="721">
        <v>774</v>
      </c>
      <c r="I14" s="705">
        <v>65</v>
      </c>
      <c r="J14" s="23">
        <f>K14+L14</f>
        <v>1473</v>
      </c>
      <c r="K14" s="702">
        <v>677</v>
      </c>
      <c r="L14" s="721">
        <v>796</v>
      </c>
      <c r="M14" s="705">
        <v>95</v>
      </c>
      <c r="N14" s="23">
        <f>O14+P14</f>
        <v>63</v>
      </c>
      <c r="O14" s="702">
        <v>12</v>
      </c>
      <c r="P14" s="722">
        <v>51</v>
      </c>
    </row>
    <row r="15" spans="1:16" ht="16.5" customHeight="1">
      <c r="A15" s="230" t="s">
        <v>45</v>
      </c>
      <c r="B15" s="23">
        <f t="shared" ref="B15:B18" si="2">SUM(C15:D15)</f>
        <v>1371</v>
      </c>
      <c r="C15" s="702">
        <v>690</v>
      </c>
      <c r="D15" s="721">
        <v>681</v>
      </c>
      <c r="E15" s="705">
        <v>36</v>
      </c>
      <c r="F15" s="23">
        <f t="shared" ref="F15:F18" si="3">SUM(G15:H15)</f>
        <v>1518</v>
      </c>
      <c r="G15" s="702">
        <v>727</v>
      </c>
      <c r="H15" s="721">
        <v>791</v>
      </c>
      <c r="I15" s="705">
        <v>66</v>
      </c>
      <c r="J15" s="23">
        <f>K15+L15</f>
        <v>1416</v>
      </c>
      <c r="K15" s="702">
        <v>710</v>
      </c>
      <c r="L15" s="721">
        <v>706</v>
      </c>
      <c r="M15" s="705">
        <v>96</v>
      </c>
      <c r="N15" s="23">
        <f>O15+P15</f>
        <v>48</v>
      </c>
      <c r="O15" s="702">
        <v>5</v>
      </c>
      <c r="P15" s="722">
        <v>43</v>
      </c>
    </row>
    <row r="16" spans="1:16" ht="16.5" customHeight="1">
      <c r="A16" s="230" t="s">
        <v>46</v>
      </c>
      <c r="B16" s="23">
        <f t="shared" si="2"/>
        <v>1387</v>
      </c>
      <c r="C16" s="702">
        <v>728</v>
      </c>
      <c r="D16" s="721">
        <v>659</v>
      </c>
      <c r="E16" s="705">
        <v>37</v>
      </c>
      <c r="F16" s="23">
        <f t="shared" si="3"/>
        <v>1531</v>
      </c>
      <c r="G16" s="702">
        <v>726</v>
      </c>
      <c r="H16" s="721">
        <v>805</v>
      </c>
      <c r="I16" s="705">
        <v>67</v>
      </c>
      <c r="J16" s="23">
        <f>K16+L16</f>
        <v>1340</v>
      </c>
      <c r="K16" s="702">
        <v>660</v>
      </c>
      <c r="L16" s="721">
        <v>680</v>
      </c>
      <c r="M16" s="705">
        <v>97</v>
      </c>
      <c r="N16" s="23">
        <f>O16+P16</f>
        <v>57</v>
      </c>
      <c r="O16" s="702">
        <v>11</v>
      </c>
      <c r="P16" s="722">
        <v>46</v>
      </c>
    </row>
    <row r="17" spans="1:16" ht="16.5" customHeight="1">
      <c r="A17" s="230" t="s">
        <v>47</v>
      </c>
      <c r="B17" s="23">
        <f t="shared" si="2"/>
        <v>1415</v>
      </c>
      <c r="C17" s="702">
        <v>704</v>
      </c>
      <c r="D17" s="721">
        <v>711</v>
      </c>
      <c r="E17" s="705">
        <v>38</v>
      </c>
      <c r="F17" s="23">
        <f t="shared" si="3"/>
        <v>1668</v>
      </c>
      <c r="G17" s="702">
        <v>830</v>
      </c>
      <c r="H17" s="721">
        <v>838</v>
      </c>
      <c r="I17" s="705">
        <v>68</v>
      </c>
      <c r="J17" s="23">
        <f>K17+L17</f>
        <v>1335</v>
      </c>
      <c r="K17" s="702">
        <v>653</v>
      </c>
      <c r="L17" s="721">
        <v>682</v>
      </c>
      <c r="M17" s="705">
        <v>98</v>
      </c>
      <c r="N17" s="23">
        <f>O17+P17</f>
        <v>23</v>
      </c>
      <c r="O17" s="702">
        <v>3</v>
      </c>
      <c r="P17" s="722">
        <v>20</v>
      </c>
    </row>
    <row r="18" spans="1:16" ht="16.5" customHeight="1">
      <c r="A18" s="230" t="s">
        <v>48</v>
      </c>
      <c r="B18" s="23">
        <f t="shared" si="2"/>
        <v>1397</v>
      </c>
      <c r="C18" s="702">
        <v>721</v>
      </c>
      <c r="D18" s="721">
        <v>676</v>
      </c>
      <c r="E18" s="705">
        <v>39</v>
      </c>
      <c r="F18" s="23">
        <f t="shared" si="3"/>
        <v>1617</v>
      </c>
      <c r="G18" s="702">
        <v>778</v>
      </c>
      <c r="H18" s="721">
        <v>839</v>
      </c>
      <c r="I18" s="705">
        <v>69</v>
      </c>
      <c r="J18" s="23">
        <f>K18+L18</f>
        <v>1280</v>
      </c>
      <c r="K18" s="702">
        <v>629</v>
      </c>
      <c r="L18" s="721">
        <v>651</v>
      </c>
      <c r="M18" s="705">
        <v>99</v>
      </c>
      <c r="N18" s="23">
        <f>O18+P18</f>
        <v>29</v>
      </c>
      <c r="O18" s="702">
        <v>1</v>
      </c>
      <c r="P18" s="722">
        <v>28</v>
      </c>
    </row>
    <row r="19" spans="1:16" ht="16.5" customHeight="1">
      <c r="A19" s="231" t="s">
        <v>49</v>
      </c>
      <c r="B19" s="719">
        <f>SUM(B14:B18)</f>
        <v>6992</v>
      </c>
      <c r="C19" s="703">
        <f>SUM(C14:C18)</f>
        <v>3546</v>
      </c>
      <c r="D19" s="703">
        <f>SUM(D14:D18)</f>
        <v>3446</v>
      </c>
      <c r="E19" s="20" t="s">
        <v>50</v>
      </c>
      <c r="F19" s="719">
        <f>SUM(F14:F18)</f>
        <v>7807</v>
      </c>
      <c r="G19" s="703">
        <f>SUM(G14:G18)</f>
        <v>3760</v>
      </c>
      <c r="H19" s="723">
        <f>SUM(H14:H18)</f>
        <v>4047</v>
      </c>
      <c r="I19" s="20" t="s">
        <v>51</v>
      </c>
      <c r="J19" s="719">
        <f>SUM(J14:J18)</f>
        <v>6844</v>
      </c>
      <c r="K19" s="703">
        <f>SUM(K14:K18)</f>
        <v>3329</v>
      </c>
      <c r="L19" s="703">
        <f>SUM(L14:L18)</f>
        <v>3515</v>
      </c>
      <c r="M19" s="20" t="s">
        <v>52</v>
      </c>
      <c r="N19" s="719">
        <f>SUM(N14:N18)</f>
        <v>220</v>
      </c>
      <c r="O19" s="703">
        <f>SUM(O14:O18)</f>
        <v>32</v>
      </c>
      <c r="P19" s="724">
        <f>SUM(P14:P18)</f>
        <v>188</v>
      </c>
    </row>
    <row r="20" spans="1:16" ht="16.5" customHeight="1">
      <c r="A20" s="228"/>
      <c r="B20" s="23"/>
      <c r="C20" s="702"/>
      <c r="D20" s="721"/>
      <c r="E20" s="21"/>
      <c r="F20" s="23"/>
      <c r="G20" s="702"/>
      <c r="H20" s="721"/>
      <c r="I20" s="21"/>
      <c r="J20" s="23"/>
      <c r="K20" s="702"/>
      <c r="L20" s="721"/>
      <c r="M20" s="21"/>
      <c r="N20" s="23"/>
      <c r="O20" s="702"/>
      <c r="P20" s="722"/>
    </row>
    <row r="21" spans="1:16" ht="16.5" customHeight="1">
      <c r="A21" s="227">
        <v>10</v>
      </c>
      <c r="B21" s="23">
        <f>SUM(C21:D21)</f>
        <v>1454</v>
      </c>
      <c r="C21" s="702">
        <v>749</v>
      </c>
      <c r="D21" s="721">
        <v>705</v>
      </c>
      <c r="E21" s="705">
        <v>40</v>
      </c>
      <c r="F21" s="23">
        <f>SUM(G21:H21)</f>
        <v>1692</v>
      </c>
      <c r="G21" s="702">
        <v>841</v>
      </c>
      <c r="H21" s="721">
        <v>851</v>
      </c>
      <c r="I21" s="705">
        <v>70</v>
      </c>
      <c r="J21" s="23">
        <f>K21+L21</f>
        <v>600</v>
      </c>
      <c r="K21" s="702">
        <v>289</v>
      </c>
      <c r="L21" s="721">
        <v>311</v>
      </c>
      <c r="M21" s="705">
        <v>100</v>
      </c>
      <c r="N21" s="23">
        <f>O21+P21</f>
        <v>21</v>
      </c>
      <c r="O21" s="702">
        <v>2</v>
      </c>
      <c r="P21" s="722">
        <v>19</v>
      </c>
    </row>
    <row r="22" spans="1:16" ht="16.5" customHeight="1">
      <c r="A22" s="227">
        <v>11</v>
      </c>
      <c r="B22" s="23">
        <f t="shared" ref="B22:B25" si="4">SUM(C22:D22)</f>
        <v>1297</v>
      </c>
      <c r="C22" s="702">
        <v>669</v>
      </c>
      <c r="D22" s="721">
        <v>628</v>
      </c>
      <c r="E22" s="705">
        <v>41</v>
      </c>
      <c r="F22" s="23">
        <f t="shared" ref="F22:F25" si="5">SUM(G22:H22)</f>
        <v>1765</v>
      </c>
      <c r="G22" s="702">
        <v>875</v>
      </c>
      <c r="H22" s="721">
        <v>890</v>
      </c>
      <c r="I22" s="705">
        <v>71</v>
      </c>
      <c r="J22" s="23">
        <f>K22+L22</f>
        <v>566</v>
      </c>
      <c r="K22" s="702">
        <v>270</v>
      </c>
      <c r="L22" s="721">
        <v>296</v>
      </c>
      <c r="M22" s="705">
        <v>101</v>
      </c>
      <c r="N22" s="23">
        <f>O22+P22</f>
        <v>11</v>
      </c>
      <c r="O22" s="702">
        <v>2</v>
      </c>
      <c r="P22" s="722">
        <v>9</v>
      </c>
    </row>
    <row r="23" spans="1:16" ht="16.5" customHeight="1">
      <c r="A23" s="227">
        <v>12</v>
      </c>
      <c r="B23" s="23">
        <f t="shared" si="4"/>
        <v>1380</v>
      </c>
      <c r="C23" s="702">
        <v>722</v>
      </c>
      <c r="D23" s="721">
        <v>658</v>
      </c>
      <c r="E23" s="705">
        <v>42</v>
      </c>
      <c r="F23" s="23">
        <f t="shared" si="5"/>
        <v>1908</v>
      </c>
      <c r="G23" s="702">
        <v>951</v>
      </c>
      <c r="H23" s="721">
        <v>957</v>
      </c>
      <c r="I23" s="705">
        <v>72</v>
      </c>
      <c r="J23" s="23">
        <f>K23+L23</f>
        <v>789</v>
      </c>
      <c r="K23" s="702">
        <v>366</v>
      </c>
      <c r="L23" s="721">
        <v>423</v>
      </c>
      <c r="M23" s="705">
        <v>102</v>
      </c>
      <c r="N23" s="23">
        <f>O23+P23</f>
        <v>8</v>
      </c>
      <c r="O23" s="702">
        <v>3</v>
      </c>
      <c r="P23" s="722">
        <v>5</v>
      </c>
    </row>
    <row r="24" spans="1:16" ht="16.5" customHeight="1">
      <c r="A24" s="227">
        <v>13</v>
      </c>
      <c r="B24" s="23">
        <f t="shared" si="4"/>
        <v>1421</v>
      </c>
      <c r="C24" s="702">
        <v>741</v>
      </c>
      <c r="D24" s="721">
        <v>680</v>
      </c>
      <c r="E24" s="705">
        <v>43</v>
      </c>
      <c r="F24" s="23">
        <f t="shared" si="5"/>
        <v>1904</v>
      </c>
      <c r="G24" s="702">
        <v>906</v>
      </c>
      <c r="H24" s="721">
        <v>998</v>
      </c>
      <c r="I24" s="705">
        <v>73</v>
      </c>
      <c r="J24" s="23">
        <f>K24+L24</f>
        <v>863</v>
      </c>
      <c r="K24" s="702">
        <v>396</v>
      </c>
      <c r="L24" s="721">
        <v>467</v>
      </c>
      <c r="M24" s="705">
        <v>103</v>
      </c>
      <c r="N24" s="23">
        <f>O24+P24</f>
        <v>5</v>
      </c>
      <c r="O24" s="702">
        <v>0</v>
      </c>
      <c r="P24" s="722">
        <v>5</v>
      </c>
    </row>
    <row r="25" spans="1:16" ht="16.5" customHeight="1">
      <c r="A25" s="227">
        <v>14</v>
      </c>
      <c r="B25" s="23">
        <f t="shared" si="4"/>
        <v>1398</v>
      </c>
      <c r="C25" s="702">
        <v>719</v>
      </c>
      <c r="D25" s="721">
        <v>679</v>
      </c>
      <c r="E25" s="705">
        <v>44</v>
      </c>
      <c r="F25" s="23">
        <f t="shared" si="5"/>
        <v>1847</v>
      </c>
      <c r="G25" s="702">
        <v>934</v>
      </c>
      <c r="H25" s="721">
        <v>913</v>
      </c>
      <c r="I25" s="705">
        <v>74</v>
      </c>
      <c r="J25" s="23">
        <f>K25+L25</f>
        <v>831</v>
      </c>
      <c r="K25" s="702">
        <v>387</v>
      </c>
      <c r="L25" s="721">
        <v>444</v>
      </c>
      <c r="M25" s="705">
        <v>104</v>
      </c>
      <c r="N25" s="23">
        <f>O25+P25</f>
        <v>1</v>
      </c>
      <c r="O25" s="725">
        <v>0</v>
      </c>
      <c r="P25" s="722">
        <v>1</v>
      </c>
    </row>
    <row r="26" spans="1:16" ht="16.5" customHeight="1">
      <c r="A26" s="229" t="s">
        <v>53</v>
      </c>
      <c r="B26" s="719">
        <f>SUM(B21:B25)</f>
        <v>6950</v>
      </c>
      <c r="C26" s="703">
        <f>SUM(C21:C25)</f>
        <v>3600</v>
      </c>
      <c r="D26" s="703">
        <f>SUM(D21:D25)</f>
        <v>3350</v>
      </c>
      <c r="E26" s="20" t="s">
        <v>54</v>
      </c>
      <c r="F26" s="719">
        <f>SUM(F21:F25)</f>
        <v>9116</v>
      </c>
      <c r="G26" s="703">
        <f>SUM(G21:G25)</f>
        <v>4507</v>
      </c>
      <c r="H26" s="723">
        <f>SUM(H21:H25)</f>
        <v>4609</v>
      </c>
      <c r="I26" s="24" t="s">
        <v>55</v>
      </c>
      <c r="J26" s="719">
        <f>SUM(J21:J25)</f>
        <v>3649</v>
      </c>
      <c r="K26" s="703">
        <f>SUM(K21:K25)</f>
        <v>1708</v>
      </c>
      <c r="L26" s="703">
        <f>SUM(L21:L25)</f>
        <v>1941</v>
      </c>
      <c r="M26" s="20" t="s">
        <v>56</v>
      </c>
      <c r="N26" s="719">
        <f>SUM(N21:N25)</f>
        <v>46</v>
      </c>
      <c r="O26" s="703">
        <f>SUM(O21:O25)</f>
        <v>7</v>
      </c>
      <c r="P26" s="724">
        <f>SUM(P21:P25)</f>
        <v>39</v>
      </c>
    </row>
    <row r="27" spans="1:16" ht="16.5" customHeight="1">
      <c r="A27" s="228"/>
      <c r="B27" s="23"/>
      <c r="C27" s="702"/>
      <c r="D27" s="721"/>
      <c r="E27" s="21"/>
      <c r="F27" s="23"/>
      <c r="G27" s="702"/>
      <c r="H27" s="721"/>
      <c r="I27" s="21"/>
      <c r="J27" s="23"/>
      <c r="K27" s="702"/>
      <c r="L27" s="721"/>
      <c r="M27" s="21"/>
      <c r="N27" s="23"/>
      <c r="O27" s="702"/>
      <c r="P27" s="722"/>
    </row>
    <row r="28" spans="1:16" ht="16.5" customHeight="1">
      <c r="A28" s="227">
        <v>15</v>
      </c>
      <c r="B28" s="23">
        <f>SUM(C28:D28)</f>
        <v>1492</v>
      </c>
      <c r="C28" s="702">
        <v>759</v>
      </c>
      <c r="D28" s="721">
        <v>733</v>
      </c>
      <c r="E28" s="705">
        <v>45</v>
      </c>
      <c r="F28" s="23">
        <f>SUM(G28:H28)</f>
        <v>1804</v>
      </c>
      <c r="G28" s="702">
        <v>871</v>
      </c>
      <c r="H28" s="721">
        <v>933</v>
      </c>
      <c r="I28" s="705">
        <v>75</v>
      </c>
      <c r="J28" s="23">
        <f>K28+L28</f>
        <v>955</v>
      </c>
      <c r="K28" s="702">
        <v>431</v>
      </c>
      <c r="L28" s="721">
        <v>524</v>
      </c>
      <c r="M28" s="20" t="s">
        <v>57</v>
      </c>
      <c r="N28" s="719">
        <f>SUM(O28:P28)</f>
        <v>2</v>
      </c>
      <c r="O28" s="726">
        <v>0</v>
      </c>
      <c r="P28" s="724">
        <v>2</v>
      </c>
    </row>
    <row r="29" spans="1:16" ht="16.5" customHeight="1">
      <c r="A29" s="227">
        <v>16</v>
      </c>
      <c r="B29" s="23">
        <f t="shared" ref="B29:B32" si="6">SUM(C29:D29)</f>
        <v>1406</v>
      </c>
      <c r="C29" s="702">
        <v>695</v>
      </c>
      <c r="D29" s="721">
        <v>711</v>
      </c>
      <c r="E29" s="705">
        <v>46</v>
      </c>
      <c r="F29" s="23">
        <f t="shared" ref="F29:F32" si="7">SUM(G29:H29)</f>
        <v>1680</v>
      </c>
      <c r="G29" s="702">
        <v>798</v>
      </c>
      <c r="H29" s="721">
        <v>882</v>
      </c>
      <c r="I29" s="705">
        <v>76</v>
      </c>
      <c r="J29" s="23">
        <f>K29+L29</f>
        <v>879</v>
      </c>
      <c r="K29" s="702">
        <v>410</v>
      </c>
      <c r="L29" s="721">
        <v>469</v>
      </c>
      <c r="M29" s="21"/>
      <c r="N29" s="23"/>
      <c r="O29" s="702"/>
      <c r="P29" s="722"/>
    </row>
    <row r="30" spans="1:16" ht="16.5" customHeight="1">
      <c r="A30" s="227">
        <v>17</v>
      </c>
      <c r="B30" s="23">
        <f t="shared" si="6"/>
        <v>1398</v>
      </c>
      <c r="C30" s="702">
        <v>718</v>
      </c>
      <c r="D30" s="721">
        <v>680</v>
      </c>
      <c r="E30" s="705">
        <v>47</v>
      </c>
      <c r="F30" s="23">
        <f t="shared" si="7"/>
        <v>1657</v>
      </c>
      <c r="G30" s="702">
        <v>846</v>
      </c>
      <c r="H30" s="721">
        <v>811</v>
      </c>
      <c r="I30" s="705">
        <v>77</v>
      </c>
      <c r="J30" s="23">
        <f>K30+L30</f>
        <v>834</v>
      </c>
      <c r="K30" s="702">
        <v>376</v>
      </c>
      <c r="L30" s="721">
        <v>458</v>
      </c>
      <c r="M30" s="21"/>
      <c r="N30" s="23"/>
      <c r="O30" s="702"/>
      <c r="P30" s="722"/>
    </row>
    <row r="31" spans="1:16" ht="16.5" customHeight="1">
      <c r="A31" s="227">
        <v>18</v>
      </c>
      <c r="B31" s="23">
        <f t="shared" si="6"/>
        <v>1459</v>
      </c>
      <c r="C31" s="702">
        <v>763</v>
      </c>
      <c r="D31" s="721">
        <v>696</v>
      </c>
      <c r="E31" s="705">
        <v>48</v>
      </c>
      <c r="F31" s="23">
        <f t="shared" si="7"/>
        <v>1739</v>
      </c>
      <c r="G31" s="702">
        <v>838</v>
      </c>
      <c r="H31" s="721">
        <v>901</v>
      </c>
      <c r="I31" s="705">
        <v>78</v>
      </c>
      <c r="J31" s="23">
        <f>K31+L31</f>
        <v>763</v>
      </c>
      <c r="K31" s="702">
        <v>363</v>
      </c>
      <c r="L31" s="721">
        <v>400</v>
      </c>
      <c r="M31" s="21" t="s">
        <v>58</v>
      </c>
      <c r="N31" s="23"/>
      <c r="O31" s="702"/>
      <c r="P31" s="722"/>
    </row>
    <row r="32" spans="1:16" ht="16.5" customHeight="1">
      <c r="A32" s="227">
        <v>19</v>
      </c>
      <c r="B32" s="23">
        <f t="shared" si="6"/>
        <v>1286</v>
      </c>
      <c r="C32" s="702">
        <v>651</v>
      </c>
      <c r="D32" s="721">
        <v>635</v>
      </c>
      <c r="E32" s="705">
        <v>49</v>
      </c>
      <c r="F32" s="23">
        <f t="shared" si="7"/>
        <v>1730</v>
      </c>
      <c r="G32" s="702">
        <v>856</v>
      </c>
      <c r="H32" s="721">
        <v>874</v>
      </c>
      <c r="I32" s="705">
        <v>79</v>
      </c>
      <c r="J32" s="23">
        <f>K32+L32</f>
        <v>744</v>
      </c>
      <c r="K32" s="702">
        <v>325</v>
      </c>
      <c r="L32" s="721">
        <v>419</v>
      </c>
      <c r="M32" s="21" t="s">
        <v>59</v>
      </c>
      <c r="N32" s="23">
        <f>SUM(O32:P32)</f>
        <v>86517</v>
      </c>
      <c r="O32" s="702">
        <f>SUM(C40+C47+G12+G19+G26+G33+G40+G47+K12+K19+K26+K33+K40+K47+O12+O19+O26+O28)</f>
        <v>41602</v>
      </c>
      <c r="P32" s="722">
        <f>SUM(D40+D47+H12+H19+H26+H33+H40+H47+L12+L19+L26+L33+L40+L47+P12+P19+P26+P28)</f>
        <v>44915</v>
      </c>
    </row>
    <row r="33" spans="1:19" ht="16.5" customHeight="1">
      <c r="A33" s="229" t="s">
        <v>60</v>
      </c>
      <c r="B33" s="719">
        <f>SUM(B28:B32)</f>
        <v>7041</v>
      </c>
      <c r="C33" s="703">
        <f>SUM(C28:C32)</f>
        <v>3586</v>
      </c>
      <c r="D33" s="703">
        <f>SUM(D28:D32)</f>
        <v>3455</v>
      </c>
      <c r="E33" s="20" t="s">
        <v>61</v>
      </c>
      <c r="F33" s="719">
        <f>SUM(F28:F32)</f>
        <v>8610</v>
      </c>
      <c r="G33" s="703">
        <f>SUM(G28:G32)</f>
        <v>4209</v>
      </c>
      <c r="H33" s="723">
        <f>SUM(H28:H32)</f>
        <v>4401</v>
      </c>
      <c r="I33" s="20" t="s">
        <v>62</v>
      </c>
      <c r="J33" s="719">
        <f>SUM(J28:J32)</f>
        <v>4175</v>
      </c>
      <c r="K33" s="703">
        <f>SUM(K28:K32)</f>
        <v>1905</v>
      </c>
      <c r="L33" s="703">
        <f>SUM(L28:L32)</f>
        <v>2270</v>
      </c>
      <c r="M33" s="21" t="s">
        <v>63</v>
      </c>
      <c r="N33" s="23">
        <f>SUM(O33:P33)</f>
        <v>52697</v>
      </c>
      <c r="O33" s="702">
        <f>SUM(C33+C40+C47+G12+G19+G26+G33)</f>
        <v>26177</v>
      </c>
      <c r="P33" s="722">
        <f>SUM(D33+D40+D47+H12+H19+H26+H33)</f>
        <v>26520</v>
      </c>
    </row>
    <row r="34" spans="1:19" ht="16.5" customHeight="1">
      <c r="A34" s="228"/>
      <c r="B34" s="23"/>
      <c r="C34" s="702"/>
      <c r="D34" s="721"/>
      <c r="E34" s="21"/>
      <c r="F34" s="23"/>
      <c r="G34" s="702"/>
      <c r="H34" s="721"/>
      <c r="I34" s="21"/>
      <c r="J34" s="23"/>
      <c r="K34" s="702"/>
      <c r="L34" s="721"/>
      <c r="M34" s="21" t="s">
        <v>64</v>
      </c>
      <c r="N34" s="23">
        <f>SUM(O34:P34)</f>
        <v>27014</v>
      </c>
      <c r="O34" s="702">
        <f>SUM(K12+K19+K26+K33+K40+K47+O12+O19+O26+O28)</f>
        <v>12212</v>
      </c>
      <c r="P34" s="722">
        <f>SUM(L12+L19+L26+L33+L40+L47+P12+P19+P26+P28)</f>
        <v>14802</v>
      </c>
    </row>
    <row r="35" spans="1:19" ht="16.5" customHeight="1">
      <c r="A35" s="227">
        <v>20</v>
      </c>
      <c r="B35" s="23">
        <f>SUM(C35:D35)</f>
        <v>1277</v>
      </c>
      <c r="C35" s="702">
        <v>700</v>
      </c>
      <c r="D35" s="721">
        <v>577</v>
      </c>
      <c r="E35" s="705">
        <v>50</v>
      </c>
      <c r="F35" s="23">
        <f>SUM(G35:H35)</f>
        <v>1336</v>
      </c>
      <c r="G35" s="702">
        <v>633</v>
      </c>
      <c r="H35" s="721">
        <v>703</v>
      </c>
      <c r="I35" s="705">
        <v>80</v>
      </c>
      <c r="J35" s="23">
        <f>K35+L35</f>
        <v>730</v>
      </c>
      <c r="K35" s="702">
        <v>315</v>
      </c>
      <c r="L35" s="721">
        <v>415</v>
      </c>
      <c r="M35" s="21" t="s">
        <v>65</v>
      </c>
      <c r="N35" s="23">
        <f>SUM(O35:P35)</f>
        <v>13389</v>
      </c>
      <c r="O35" s="702">
        <f>SUM(K26+K33+K40+K47+O12+O19+O26+O28)</f>
        <v>5617</v>
      </c>
      <c r="P35" s="722">
        <f>SUM(L26+L33+L40+L47+P12+P19+P26+P28)</f>
        <v>7772</v>
      </c>
    </row>
    <row r="36" spans="1:19" ht="16.5" customHeight="1">
      <c r="A36" s="227">
        <v>21</v>
      </c>
      <c r="B36" s="23">
        <f t="shared" ref="B36:B39" si="8">SUM(C36:D36)</f>
        <v>1245</v>
      </c>
      <c r="C36" s="702">
        <v>617</v>
      </c>
      <c r="D36" s="721">
        <v>628</v>
      </c>
      <c r="E36" s="705">
        <v>51</v>
      </c>
      <c r="F36" s="23">
        <f t="shared" ref="F36:F39" si="9">SUM(G36:H36)</f>
        <v>1424</v>
      </c>
      <c r="G36" s="702">
        <v>692</v>
      </c>
      <c r="H36" s="721">
        <v>732</v>
      </c>
      <c r="I36" s="705">
        <v>81</v>
      </c>
      <c r="J36" s="23">
        <f>K36+L36</f>
        <v>666</v>
      </c>
      <c r="K36" s="702">
        <v>279</v>
      </c>
      <c r="L36" s="721">
        <v>387</v>
      </c>
      <c r="M36" s="21" t="s">
        <v>66</v>
      </c>
      <c r="N36" s="23">
        <f>SUM(O36:P36)</f>
        <v>9740</v>
      </c>
      <c r="O36" s="702">
        <f>SUM(K33+K40+K47+O12+O19+O26+O28)</f>
        <v>3909</v>
      </c>
      <c r="P36" s="722">
        <f>SUM(L33+L40+L47+P12+P19+P26+P28)</f>
        <v>5831</v>
      </c>
      <c r="R36" s="25"/>
      <c r="S36" s="25"/>
    </row>
    <row r="37" spans="1:19" ht="16.5" customHeight="1">
      <c r="A37" s="227">
        <v>22</v>
      </c>
      <c r="B37" s="23">
        <f t="shared" si="8"/>
        <v>1231</v>
      </c>
      <c r="C37" s="702">
        <v>620</v>
      </c>
      <c r="D37" s="721">
        <v>611</v>
      </c>
      <c r="E37" s="705">
        <v>52</v>
      </c>
      <c r="F37" s="23">
        <f t="shared" si="9"/>
        <v>1451</v>
      </c>
      <c r="G37" s="702">
        <v>727</v>
      </c>
      <c r="H37" s="721">
        <v>724</v>
      </c>
      <c r="I37" s="705">
        <v>82</v>
      </c>
      <c r="J37" s="23">
        <f>K37+L37</f>
        <v>627</v>
      </c>
      <c r="K37" s="702">
        <v>247</v>
      </c>
      <c r="L37" s="721">
        <v>380</v>
      </c>
      <c r="M37" s="21"/>
      <c r="N37" s="23"/>
      <c r="O37" s="702"/>
      <c r="P37" s="722"/>
    </row>
    <row r="38" spans="1:19" ht="16.5" customHeight="1">
      <c r="A38" s="227">
        <v>23</v>
      </c>
      <c r="B38" s="23">
        <f t="shared" si="8"/>
        <v>1273</v>
      </c>
      <c r="C38" s="702">
        <v>653</v>
      </c>
      <c r="D38" s="721">
        <v>620</v>
      </c>
      <c r="E38" s="705">
        <v>53</v>
      </c>
      <c r="F38" s="23">
        <f t="shared" si="9"/>
        <v>1488</v>
      </c>
      <c r="G38" s="702">
        <v>700</v>
      </c>
      <c r="H38" s="721">
        <v>788</v>
      </c>
      <c r="I38" s="705">
        <v>83</v>
      </c>
      <c r="J38" s="23">
        <f>K38+L38</f>
        <v>524</v>
      </c>
      <c r="K38" s="702">
        <v>228</v>
      </c>
      <c r="L38" s="721">
        <v>296</v>
      </c>
      <c r="M38" s="21" t="s">
        <v>67</v>
      </c>
      <c r="N38" s="23">
        <f>SUM(O38:P38)</f>
        <v>20779</v>
      </c>
      <c r="O38" s="702">
        <f>SUM(C12+C19+C26)</f>
        <v>10599</v>
      </c>
      <c r="P38" s="722">
        <f>SUM(D12+D19+D26)</f>
        <v>10180</v>
      </c>
    </row>
    <row r="39" spans="1:19" ht="16.5" customHeight="1">
      <c r="A39" s="227">
        <v>24</v>
      </c>
      <c r="B39" s="23">
        <f t="shared" si="8"/>
        <v>1205</v>
      </c>
      <c r="C39" s="702">
        <v>636</v>
      </c>
      <c r="D39" s="721">
        <v>569</v>
      </c>
      <c r="E39" s="705">
        <v>54</v>
      </c>
      <c r="F39" s="23">
        <f t="shared" si="9"/>
        <v>1375</v>
      </c>
      <c r="G39" s="702">
        <v>653</v>
      </c>
      <c r="H39" s="721">
        <v>722</v>
      </c>
      <c r="I39" s="705">
        <v>84</v>
      </c>
      <c r="J39" s="23">
        <f>K39+L39</f>
        <v>517</v>
      </c>
      <c r="K39" s="702">
        <v>202</v>
      </c>
      <c r="L39" s="721">
        <v>315</v>
      </c>
      <c r="M39" s="21" t="s">
        <v>68</v>
      </c>
      <c r="N39" s="23">
        <f>SUM(O39:P39)</f>
        <v>73325</v>
      </c>
      <c r="O39" s="702">
        <f>SUM(C33+C40+C47+G12+G19+G26+G33+G40+G47+K12)</f>
        <v>36242</v>
      </c>
      <c r="P39" s="722">
        <f>SUM(D33+D40+D47+H12+H19+H26+H33+H40+H47+L12)</f>
        <v>37083</v>
      </c>
    </row>
    <row r="40" spans="1:19" ht="16.5" customHeight="1">
      <c r="A40" s="229" t="s">
        <v>69</v>
      </c>
      <c r="B40" s="719">
        <f>SUM(B35:B39)</f>
        <v>6231</v>
      </c>
      <c r="C40" s="703">
        <f>SUM(C35:C39)</f>
        <v>3226</v>
      </c>
      <c r="D40" s="703">
        <f>SUM(D35:D39)</f>
        <v>3005</v>
      </c>
      <c r="E40" s="20" t="s">
        <v>70</v>
      </c>
      <c r="F40" s="719">
        <f>SUM(F35:F39)</f>
        <v>7074</v>
      </c>
      <c r="G40" s="703">
        <f>SUM(G35:G39)</f>
        <v>3405</v>
      </c>
      <c r="H40" s="723">
        <f>SUM(H35:H39)</f>
        <v>3669</v>
      </c>
      <c r="I40" s="20" t="s">
        <v>71</v>
      </c>
      <c r="J40" s="719">
        <f>SUM(J35:J39)</f>
        <v>3064</v>
      </c>
      <c r="K40" s="703">
        <f>SUM(K35:K39)</f>
        <v>1271</v>
      </c>
      <c r="L40" s="703">
        <f>SUM(L35:L39)</f>
        <v>1793</v>
      </c>
      <c r="M40" s="21" t="s">
        <v>72</v>
      </c>
      <c r="N40" s="23">
        <f>SUM(O40:P40)</f>
        <v>20233</v>
      </c>
      <c r="O40" s="702">
        <f>SUM(K19+K26+K33+K40+K47+O12+O19+O26+O28)</f>
        <v>8946</v>
      </c>
      <c r="P40" s="722">
        <f>SUM(L19+L26+L33+L40+L47+P12+P19+P26+P28)</f>
        <v>11287</v>
      </c>
    </row>
    <row r="41" spans="1:19" ht="16.5" customHeight="1">
      <c r="A41" s="228"/>
      <c r="B41" s="23"/>
      <c r="C41" s="702"/>
      <c r="D41" s="721"/>
      <c r="E41" s="21"/>
      <c r="F41" s="23"/>
      <c r="G41" s="702"/>
      <c r="H41" s="721"/>
      <c r="I41" s="21"/>
      <c r="J41" s="23"/>
      <c r="K41" s="702"/>
      <c r="L41" s="721"/>
      <c r="M41" s="21"/>
      <c r="N41" s="21"/>
      <c r="O41" s="701"/>
      <c r="P41" s="214"/>
    </row>
    <row r="42" spans="1:19" ht="16.5" customHeight="1">
      <c r="A42" s="227">
        <v>25</v>
      </c>
      <c r="B42" s="23">
        <f>SUM(C42:D42)</f>
        <v>1255</v>
      </c>
      <c r="C42" s="702">
        <v>617</v>
      </c>
      <c r="D42" s="721">
        <v>638</v>
      </c>
      <c r="E42" s="705">
        <v>55</v>
      </c>
      <c r="F42" s="23">
        <f>SUM(G42:H42)</f>
        <v>1452</v>
      </c>
      <c r="G42" s="702">
        <v>706</v>
      </c>
      <c r="H42" s="721">
        <v>746</v>
      </c>
      <c r="I42" s="705">
        <v>85</v>
      </c>
      <c r="J42" s="23">
        <f>K42+L42</f>
        <v>386</v>
      </c>
      <c r="K42" s="702">
        <v>136</v>
      </c>
      <c r="L42" s="721">
        <v>250</v>
      </c>
      <c r="M42" s="705" t="s">
        <v>73</v>
      </c>
      <c r="N42" s="21"/>
      <c r="O42" s="701"/>
      <c r="P42" s="214"/>
    </row>
    <row r="43" spans="1:19" ht="16.5" customHeight="1">
      <c r="A43" s="227">
        <v>26</v>
      </c>
      <c r="B43" s="23">
        <f t="shared" ref="B43:B46" si="10">SUM(C43:D43)</f>
        <v>1258</v>
      </c>
      <c r="C43" s="702">
        <v>654</v>
      </c>
      <c r="D43" s="721">
        <v>604</v>
      </c>
      <c r="E43" s="705">
        <v>56</v>
      </c>
      <c r="F43" s="23">
        <f t="shared" ref="F43:F46" si="11">SUM(G43:H43)</f>
        <v>1379</v>
      </c>
      <c r="G43" s="702">
        <v>703</v>
      </c>
      <c r="H43" s="721">
        <v>676</v>
      </c>
      <c r="I43" s="705">
        <v>86</v>
      </c>
      <c r="J43" s="23">
        <f>K43+L43</f>
        <v>353</v>
      </c>
      <c r="K43" s="702">
        <v>137</v>
      </c>
      <c r="L43" s="721">
        <v>216</v>
      </c>
      <c r="M43" s="21" t="s">
        <v>67</v>
      </c>
      <c r="N43" s="727">
        <f t="shared" ref="N43:P45" si="12">N38/$B$5</f>
        <v>0.18173469655492097</v>
      </c>
      <c r="O43" s="728">
        <f>O38/$B$5</f>
        <v>9.2699651031599564E-2</v>
      </c>
      <c r="P43" s="729">
        <f t="shared" si="12"/>
        <v>8.9035045523321407E-2</v>
      </c>
    </row>
    <row r="44" spans="1:19" ht="16.5" customHeight="1">
      <c r="A44" s="227">
        <v>27</v>
      </c>
      <c r="B44" s="23">
        <f t="shared" si="10"/>
        <v>1237</v>
      </c>
      <c r="C44" s="702">
        <v>602</v>
      </c>
      <c r="D44" s="721">
        <v>635</v>
      </c>
      <c r="E44" s="705">
        <v>57</v>
      </c>
      <c r="F44" s="23">
        <f t="shared" si="11"/>
        <v>1340</v>
      </c>
      <c r="G44" s="702">
        <v>662</v>
      </c>
      <c r="H44" s="721">
        <v>678</v>
      </c>
      <c r="I44" s="705">
        <v>87</v>
      </c>
      <c r="J44" s="23">
        <f>K44+L44</f>
        <v>310</v>
      </c>
      <c r="K44" s="702">
        <v>101</v>
      </c>
      <c r="L44" s="721">
        <v>209</v>
      </c>
      <c r="M44" s="21" t="s">
        <v>68</v>
      </c>
      <c r="N44" s="727">
        <f t="shared" si="12"/>
        <v>0.641305963948678</v>
      </c>
      <c r="O44" s="728">
        <f t="shared" si="12"/>
        <v>0.31697525735326271</v>
      </c>
      <c r="P44" s="729">
        <f t="shared" si="12"/>
        <v>0.3243307065954153</v>
      </c>
    </row>
    <row r="45" spans="1:19" ht="16.5" customHeight="1">
      <c r="A45" s="227">
        <v>28</v>
      </c>
      <c r="B45" s="23">
        <f t="shared" si="10"/>
        <v>1297</v>
      </c>
      <c r="C45" s="702">
        <v>652</v>
      </c>
      <c r="D45" s="721">
        <v>645</v>
      </c>
      <c r="E45" s="705">
        <v>58</v>
      </c>
      <c r="F45" s="23">
        <f t="shared" si="11"/>
        <v>1358</v>
      </c>
      <c r="G45" s="702">
        <v>688</v>
      </c>
      <c r="H45" s="721">
        <v>670</v>
      </c>
      <c r="I45" s="705">
        <v>88</v>
      </c>
      <c r="J45" s="23">
        <f>K45+L45</f>
        <v>283</v>
      </c>
      <c r="K45" s="702">
        <v>90</v>
      </c>
      <c r="L45" s="721">
        <v>193</v>
      </c>
      <c r="M45" s="21" t="s">
        <v>72</v>
      </c>
      <c r="N45" s="727">
        <f t="shared" si="12"/>
        <v>0.176959339496401</v>
      </c>
      <c r="O45" s="728">
        <f t="shared" si="12"/>
        <v>7.824238872805829E-2</v>
      </c>
      <c r="P45" s="729">
        <f t="shared" si="12"/>
        <v>9.8716950768342707E-2</v>
      </c>
    </row>
    <row r="46" spans="1:19" ht="16.5" customHeight="1">
      <c r="A46" s="227">
        <v>29</v>
      </c>
      <c r="B46" s="23">
        <f t="shared" si="10"/>
        <v>1322</v>
      </c>
      <c r="C46" s="702">
        <v>648</v>
      </c>
      <c r="D46" s="721">
        <v>674</v>
      </c>
      <c r="E46" s="705">
        <v>59</v>
      </c>
      <c r="F46" s="23">
        <f t="shared" si="11"/>
        <v>1244</v>
      </c>
      <c r="G46" s="702">
        <v>635</v>
      </c>
      <c r="H46" s="721">
        <v>609</v>
      </c>
      <c r="I46" s="705">
        <v>89</v>
      </c>
      <c r="J46" s="23">
        <f>K46+L46</f>
        <v>233</v>
      </c>
      <c r="K46" s="702">
        <v>67</v>
      </c>
      <c r="L46" s="721">
        <v>166</v>
      </c>
      <c r="M46" s="21"/>
      <c r="N46" s="730"/>
      <c r="O46" s="731"/>
      <c r="P46" s="732"/>
    </row>
    <row r="47" spans="1:19" ht="16.5" customHeight="1">
      <c r="A47" s="229" t="s">
        <v>74</v>
      </c>
      <c r="B47" s="719">
        <f>SUM(B42:B46)</f>
        <v>6369</v>
      </c>
      <c r="C47" s="703">
        <f>SUM(C42:C46)</f>
        <v>3173</v>
      </c>
      <c r="D47" s="703">
        <f>SUM(D42:D46)</f>
        <v>3196</v>
      </c>
      <c r="E47" s="20" t="s">
        <v>75</v>
      </c>
      <c r="F47" s="719">
        <f>SUM(F42:F46)</f>
        <v>6773</v>
      </c>
      <c r="G47" s="703">
        <f>SUM(G42:G46)</f>
        <v>3394</v>
      </c>
      <c r="H47" s="723">
        <f>SUM(H42:H46)</f>
        <v>3379</v>
      </c>
      <c r="I47" s="20" t="s">
        <v>76</v>
      </c>
      <c r="J47" s="719">
        <f>SUM(J42:J46)</f>
        <v>1565</v>
      </c>
      <c r="K47" s="703">
        <f>SUM(K42:K46)</f>
        <v>531</v>
      </c>
      <c r="L47" s="703">
        <f>SUM(L42:L46)</f>
        <v>1034</v>
      </c>
      <c r="M47" s="21" t="s">
        <v>77</v>
      </c>
      <c r="N47" s="733">
        <v>40</v>
      </c>
      <c r="O47" s="734">
        <v>38</v>
      </c>
      <c r="P47" s="735">
        <v>41</v>
      </c>
    </row>
    <row r="48" spans="1:19" ht="16.5" customHeight="1" thickBot="1">
      <c r="A48" s="233"/>
      <c r="B48" s="736"/>
      <c r="C48" s="704"/>
      <c r="D48" s="737"/>
      <c r="E48" s="234"/>
      <c r="F48" s="736"/>
      <c r="G48" s="704"/>
      <c r="H48" s="737"/>
      <c r="I48" s="234"/>
      <c r="J48" s="234"/>
      <c r="K48" s="738"/>
      <c r="L48" s="739"/>
      <c r="M48" s="234"/>
      <c r="N48" s="234"/>
      <c r="O48" s="738"/>
      <c r="P48" s="740"/>
    </row>
    <row r="49" spans="1:16" ht="18" customHeight="1">
      <c r="A49" s="14" t="s">
        <v>78</v>
      </c>
      <c r="B49" s="15"/>
      <c r="C49" s="15"/>
      <c r="D49" s="15"/>
      <c r="E49" s="245"/>
      <c r="F49" s="15"/>
      <c r="G49" s="15"/>
      <c r="H49" s="15"/>
      <c r="I49" s="246"/>
      <c r="J49" s="242"/>
      <c r="K49" s="242"/>
      <c r="L49" s="15"/>
      <c r="M49" s="245"/>
      <c r="N49" s="242"/>
      <c r="P49" s="16" t="s">
        <v>708</v>
      </c>
    </row>
  </sheetData>
  <sheetProtection selectLockedCells="1" selectUnlockedCells="1"/>
  <phoneticPr fontId="19"/>
  <printOptions horizontalCentered="1"/>
  <pageMargins left="0.59055118110236227" right="0.59055118110236227" top="0.59055118110236227" bottom="0.59055118110236227" header="0.39370078740157483" footer="0.39370078740157483"/>
  <pageSetup paperSize="9" firstPageNumber="0" orientation="portrait" r:id="rId1"/>
  <headerFooter scaleWithDoc="0" alignWithMargins="0">
    <oddHeader>&amp;L&amp;"ＭＳ 明朝,標準"&amp;10人　口</oddHeader>
    <oddFooter>&amp;C&amp;"ＭＳ 明朝,標準"&amp;12&amp;A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view="pageBreakPreview" topLeftCell="C1" zoomScaleNormal="120" zoomScaleSheetLayoutView="100" workbookViewId="0">
      <selection activeCell="P41" sqref="P41"/>
    </sheetView>
  </sheetViews>
  <sheetFormatPr defaultRowHeight="17.100000000000001" customHeight="1"/>
  <cols>
    <col min="1" max="1" width="11.875" style="244" customWidth="1"/>
    <col min="2" max="4" width="11.25" style="12" customWidth="1"/>
    <col min="5" max="5" width="11.875" style="244" customWidth="1"/>
    <col min="6" max="8" width="11.25" style="12" customWidth="1"/>
    <col min="9" max="9" width="11.875" style="13" customWidth="1"/>
    <col min="10" max="12" width="11.25" style="12" customWidth="1"/>
    <col min="13" max="13" width="11.875" style="12" customWidth="1"/>
    <col min="14" max="16" width="11.25" style="12" customWidth="1"/>
    <col min="17" max="16384" width="9" style="12"/>
  </cols>
  <sheetData>
    <row r="1" spans="1:16" ht="5.0999999999999996" customHeight="1">
      <c r="A1" s="14"/>
      <c r="B1" s="15"/>
      <c r="C1" s="15"/>
      <c r="D1" s="15"/>
      <c r="E1" s="245"/>
      <c r="G1" s="15"/>
      <c r="H1" s="16"/>
      <c r="I1" s="14" t="s">
        <v>30</v>
      </c>
      <c r="J1" s="15"/>
      <c r="K1" s="15"/>
      <c r="L1" s="15"/>
      <c r="M1" s="245"/>
      <c r="O1" s="15"/>
      <c r="P1" s="16"/>
    </row>
    <row r="2" spans="1:16" ht="15" customHeight="1" thickBot="1">
      <c r="A2" s="245" t="s">
        <v>628</v>
      </c>
      <c r="B2" s="15"/>
      <c r="C2" s="15"/>
      <c r="D2" s="15"/>
      <c r="E2" s="245"/>
      <c r="G2" s="15"/>
      <c r="H2" s="16"/>
      <c r="I2" s="14"/>
      <c r="J2" s="15"/>
      <c r="K2" s="15"/>
      <c r="L2" s="15"/>
      <c r="M2" s="245"/>
      <c r="O2" s="15"/>
      <c r="P2" s="16" t="s">
        <v>31</v>
      </c>
    </row>
    <row r="3" spans="1:16" ht="24" customHeight="1">
      <c r="A3" s="580" t="s">
        <v>32</v>
      </c>
      <c r="B3" s="579" t="s">
        <v>33</v>
      </c>
      <c r="C3" s="579" t="s">
        <v>21</v>
      </c>
      <c r="D3" s="576" t="s">
        <v>22</v>
      </c>
      <c r="E3" s="579" t="s">
        <v>32</v>
      </c>
      <c r="F3" s="579" t="s">
        <v>33</v>
      </c>
      <c r="G3" s="579" t="s">
        <v>21</v>
      </c>
      <c r="H3" s="576" t="s">
        <v>22</v>
      </c>
      <c r="I3" s="576" t="s">
        <v>32</v>
      </c>
      <c r="J3" s="579" t="s">
        <v>33</v>
      </c>
      <c r="K3" s="579" t="s">
        <v>21</v>
      </c>
      <c r="L3" s="576" t="s">
        <v>22</v>
      </c>
      <c r="M3" s="579" t="s">
        <v>32</v>
      </c>
      <c r="N3" s="579" t="s">
        <v>33</v>
      </c>
      <c r="O3" s="579" t="s">
        <v>21</v>
      </c>
      <c r="P3" s="581" t="s">
        <v>22</v>
      </c>
    </row>
    <row r="4" spans="1:16" ht="7.5" customHeight="1">
      <c r="A4" s="227"/>
      <c r="B4" s="578"/>
      <c r="C4" s="240"/>
      <c r="D4" s="583"/>
      <c r="E4" s="582"/>
      <c r="F4" s="578"/>
      <c r="G4" s="240"/>
      <c r="H4" s="241"/>
      <c r="I4" s="584"/>
      <c r="J4" s="578"/>
      <c r="K4" s="240"/>
      <c r="L4" s="583"/>
      <c r="M4" s="582"/>
      <c r="N4" s="578"/>
      <c r="O4" s="240"/>
      <c r="P4" s="243"/>
    </row>
    <row r="5" spans="1:16" ht="16.5" customHeight="1">
      <c r="A5" s="229" t="s">
        <v>34</v>
      </c>
      <c r="B5" s="719">
        <f>SUM(C5:D5)</f>
        <v>114337</v>
      </c>
      <c r="C5" s="703">
        <f>C12+C19+‐40‐!C26+C33+C40+C47+G12+G19+G26+G33+G40+G47+K12+K19+K26+K33+K40+K47+O12+O19+O26+O28</f>
        <v>55787</v>
      </c>
      <c r="D5" s="703">
        <f>D12+D19+D26+D33+D40+D47+H12+H19+H26+H33+H40+H47+L12+L19+L26+L33+L40+L47+P12+P19+P26+P28</f>
        <v>58550</v>
      </c>
      <c r="E5" s="21"/>
      <c r="F5" s="21"/>
      <c r="G5" s="701"/>
      <c r="H5" s="720"/>
      <c r="I5" s="22"/>
      <c r="J5" s="21"/>
      <c r="K5" s="701"/>
      <c r="L5" s="720"/>
      <c r="M5" s="21"/>
      <c r="N5" s="21"/>
      <c r="O5" s="701"/>
      <c r="P5" s="214"/>
    </row>
    <row r="6" spans="1:16" ht="16.5" customHeight="1">
      <c r="A6" s="228"/>
      <c r="B6" s="23"/>
      <c r="C6" s="702"/>
      <c r="D6" s="721"/>
      <c r="E6" s="21"/>
      <c r="F6" s="21"/>
      <c r="G6" s="701"/>
      <c r="H6" s="720"/>
      <c r="I6" s="22"/>
      <c r="J6" s="21"/>
      <c r="K6" s="701"/>
      <c r="L6" s="720"/>
      <c r="M6" s="21"/>
      <c r="N6" s="21"/>
      <c r="O6" s="701"/>
      <c r="P6" s="214"/>
    </row>
    <row r="7" spans="1:16" ht="16.5" customHeight="1">
      <c r="A7" s="230" t="s">
        <v>35</v>
      </c>
      <c r="B7" s="23">
        <f>SUM(C7:D7)</f>
        <v>1321</v>
      </c>
      <c r="C7" s="702">
        <v>673</v>
      </c>
      <c r="D7" s="721">
        <v>648</v>
      </c>
      <c r="E7" s="705">
        <v>30</v>
      </c>
      <c r="F7" s="23">
        <f>SUM(G7:H7)</f>
        <v>1500</v>
      </c>
      <c r="G7" s="702">
        <v>746</v>
      </c>
      <c r="H7" s="721">
        <v>754</v>
      </c>
      <c r="I7" s="706">
        <v>60</v>
      </c>
      <c r="J7" s="23">
        <f>K7+L7</f>
        <v>1275</v>
      </c>
      <c r="K7" s="702">
        <v>616</v>
      </c>
      <c r="L7" s="721">
        <v>659</v>
      </c>
      <c r="M7" s="705">
        <v>90</v>
      </c>
      <c r="N7" s="23">
        <f>O7+P7</f>
        <v>175</v>
      </c>
      <c r="O7" s="702">
        <v>46</v>
      </c>
      <c r="P7" s="722">
        <v>129</v>
      </c>
    </row>
    <row r="8" spans="1:16" ht="16.5" customHeight="1">
      <c r="A8" s="230" t="s">
        <v>36</v>
      </c>
      <c r="B8" s="23">
        <f t="shared" ref="B8:B11" si="0">SUM(C8:D8)</f>
        <v>1365</v>
      </c>
      <c r="C8" s="702">
        <v>683</v>
      </c>
      <c r="D8" s="721">
        <v>682</v>
      </c>
      <c r="E8" s="705">
        <v>31</v>
      </c>
      <c r="F8" s="23">
        <f t="shared" ref="F8:F11" si="1">SUM(G8:H8)</f>
        <v>1479</v>
      </c>
      <c r="G8" s="702">
        <v>720</v>
      </c>
      <c r="H8" s="721">
        <v>759</v>
      </c>
      <c r="I8" s="706">
        <v>61</v>
      </c>
      <c r="J8" s="23">
        <f>K8+L8</f>
        <v>1320</v>
      </c>
      <c r="K8" s="702">
        <v>646</v>
      </c>
      <c r="L8" s="721">
        <v>674</v>
      </c>
      <c r="M8" s="705">
        <v>91</v>
      </c>
      <c r="N8" s="23">
        <f>O8+P8</f>
        <v>168</v>
      </c>
      <c r="O8" s="702">
        <v>37</v>
      </c>
      <c r="P8" s="722">
        <v>131</v>
      </c>
    </row>
    <row r="9" spans="1:16" ht="16.5" customHeight="1">
      <c r="A9" s="230" t="s">
        <v>37</v>
      </c>
      <c r="B9" s="23">
        <f t="shared" si="0"/>
        <v>1335</v>
      </c>
      <c r="C9" s="702">
        <v>679</v>
      </c>
      <c r="D9" s="721">
        <v>656</v>
      </c>
      <c r="E9" s="705">
        <v>32</v>
      </c>
      <c r="F9" s="23">
        <f t="shared" si="1"/>
        <v>1563</v>
      </c>
      <c r="G9" s="702">
        <v>766</v>
      </c>
      <c r="H9" s="721">
        <v>797</v>
      </c>
      <c r="I9" s="706">
        <v>62</v>
      </c>
      <c r="J9" s="23">
        <f>K9+L9</f>
        <v>1363</v>
      </c>
      <c r="K9" s="702">
        <v>641</v>
      </c>
      <c r="L9" s="721">
        <v>722</v>
      </c>
      <c r="M9" s="705">
        <v>92</v>
      </c>
      <c r="N9" s="23">
        <f>O9+P9</f>
        <v>113</v>
      </c>
      <c r="O9" s="702">
        <v>29</v>
      </c>
      <c r="P9" s="722">
        <v>84</v>
      </c>
    </row>
    <row r="10" spans="1:16" ht="16.5" customHeight="1">
      <c r="A10" s="230" t="s">
        <v>38</v>
      </c>
      <c r="B10" s="23">
        <f t="shared" si="0"/>
        <v>1366</v>
      </c>
      <c r="C10" s="702">
        <v>690</v>
      </c>
      <c r="D10" s="721">
        <v>676</v>
      </c>
      <c r="E10" s="705">
        <v>33</v>
      </c>
      <c r="F10" s="23">
        <f t="shared" si="1"/>
        <v>1505</v>
      </c>
      <c r="G10" s="702">
        <v>758</v>
      </c>
      <c r="H10" s="721">
        <v>747</v>
      </c>
      <c r="I10" s="706">
        <v>63</v>
      </c>
      <c r="J10" s="23">
        <f>K10+L10</f>
        <v>1387</v>
      </c>
      <c r="K10" s="702">
        <v>668</v>
      </c>
      <c r="L10" s="721">
        <v>719</v>
      </c>
      <c r="M10" s="705">
        <v>93</v>
      </c>
      <c r="N10" s="23">
        <f>O10+P10</f>
        <v>111</v>
      </c>
      <c r="O10" s="702">
        <v>30</v>
      </c>
      <c r="P10" s="722">
        <v>81</v>
      </c>
    </row>
    <row r="11" spans="1:16" ht="16.5" customHeight="1">
      <c r="A11" s="230" t="s">
        <v>39</v>
      </c>
      <c r="B11" s="23">
        <f t="shared" si="0"/>
        <v>1450</v>
      </c>
      <c r="C11" s="702">
        <v>728</v>
      </c>
      <c r="D11" s="721">
        <v>722</v>
      </c>
      <c r="E11" s="705">
        <v>34</v>
      </c>
      <c r="F11" s="23">
        <f t="shared" si="1"/>
        <v>1476</v>
      </c>
      <c r="G11" s="702">
        <v>726</v>
      </c>
      <c r="H11" s="721">
        <v>750</v>
      </c>
      <c r="I11" s="706">
        <v>64</v>
      </c>
      <c r="J11" s="23">
        <f>K11+L11</f>
        <v>1436</v>
      </c>
      <c r="K11" s="702">
        <v>695</v>
      </c>
      <c r="L11" s="721">
        <v>741</v>
      </c>
      <c r="M11" s="705">
        <v>94</v>
      </c>
      <c r="N11" s="23">
        <f>O11+P11</f>
        <v>101</v>
      </c>
      <c r="O11" s="702">
        <v>21</v>
      </c>
      <c r="P11" s="722">
        <v>80</v>
      </c>
    </row>
    <row r="12" spans="1:16" ht="16.5" customHeight="1">
      <c r="A12" s="231" t="s">
        <v>40</v>
      </c>
      <c r="B12" s="719">
        <f>SUM(B7:B11)</f>
        <v>6837</v>
      </c>
      <c r="C12" s="703">
        <f>SUM(C7:C11)</f>
        <v>3453</v>
      </c>
      <c r="D12" s="703">
        <f>SUM(D7:D11)</f>
        <v>3384</v>
      </c>
      <c r="E12" s="20" t="s">
        <v>41</v>
      </c>
      <c r="F12" s="719">
        <f>SUM(F7:F11)</f>
        <v>7523</v>
      </c>
      <c r="G12" s="703">
        <f>SUM(G7:G11)</f>
        <v>3716</v>
      </c>
      <c r="H12" s="723">
        <f>SUM(H7:H11)</f>
        <v>3807</v>
      </c>
      <c r="I12" s="24" t="s">
        <v>42</v>
      </c>
      <c r="J12" s="719">
        <f>SUM(J7:J11)</f>
        <v>6781</v>
      </c>
      <c r="K12" s="703">
        <f>SUM(K7:K11)</f>
        <v>3266</v>
      </c>
      <c r="L12" s="703">
        <f>SUM(L7:L11)</f>
        <v>3515</v>
      </c>
      <c r="M12" s="20" t="s">
        <v>43</v>
      </c>
      <c r="N12" s="719">
        <f>SUM(N7:N11)</f>
        <v>668</v>
      </c>
      <c r="O12" s="703">
        <f>SUM(O7:O11)</f>
        <v>163</v>
      </c>
      <c r="P12" s="724">
        <f>SUM(P7:P11)</f>
        <v>505</v>
      </c>
    </row>
    <row r="13" spans="1:16" ht="16.5" customHeight="1">
      <c r="A13" s="232"/>
      <c r="B13" s="23"/>
      <c r="C13" s="702"/>
      <c r="D13" s="721"/>
      <c r="E13" s="21"/>
      <c r="F13" s="23"/>
      <c r="G13" s="702"/>
      <c r="H13" s="721"/>
      <c r="I13" s="21"/>
      <c r="J13" s="23"/>
      <c r="K13" s="702"/>
      <c r="L13" s="721"/>
      <c r="M13" s="21"/>
      <c r="N13" s="23"/>
      <c r="O13" s="702"/>
      <c r="P13" s="722"/>
    </row>
    <row r="14" spans="1:16" ht="16.5" customHeight="1">
      <c r="A14" s="230" t="s">
        <v>44</v>
      </c>
      <c r="B14" s="23">
        <f>SUM(C14:D14)</f>
        <v>1422</v>
      </c>
      <c r="C14" s="702">
        <v>703</v>
      </c>
      <c r="D14" s="721">
        <v>719</v>
      </c>
      <c r="E14" s="705">
        <v>35</v>
      </c>
      <c r="F14" s="23">
        <f>SUM(G14:H14)</f>
        <v>1473</v>
      </c>
      <c r="G14" s="702">
        <v>699</v>
      </c>
      <c r="H14" s="721">
        <v>774</v>
      </c>
      <c r="I14" s="705">
        <v>65</v>
      </c>
      <c r="J14" s="23">
        <f>K14+L14</f>
        <v>1473</v>
      </c>
      <c r="K14" s="702">
        <v>677</v>
      </c>
      <c r="L14" s="721">
        <v>796</v>
      </c>
      <c r="M14" s="705">
        <v>95</v>
      </c>
      <c r="N14" s="23">
        <f>O14+P14</f>
        <v>63</v>
      </c>
      <c r="O14" s="702">
        <v>12</v>
      </c>
      <c r="P14" s="722">
        <v>51</v>
      </c>
    </row>
    <row r="15" spans="1:16" ht="16.5" customHeight="1">
      <c r="A15" s="230" t="s">
        <v>45</v>
      </c>
      <c r="B15" s="23">
        <f t="shared" ref="B15:B18" si="2">SUM(C15:D15)</f>
        <v>1371</v>
      </c>
      <c r="C15" s="702">
        <v>690</v>
      </c>
      <c r="D15" s="721">
        <v>681</v>
      </c>
      <c r="E15" s="705">
        <v>36</v>
      </c>
      <c r="F15" s="23">
        <f t="shared" ref="F15:F18" si="3">SUM(G15:H15)</f>
        <v>1518</v>
      </c>
      <c r="G15" s="702">
        <v>727</v>
      </c>
      <c r="H15" s="721">
        <v>791</v>
      </c>
      <c r="I15" s="705">
        <v>66</v>
      </c>
      <c r="J15" s="23">
        <f>K15+L15</f>
        <v>1416</v>
      </c>
      <c r="K15" s="702">
        <v>710</v>
      </c>
      <c r="L15" s="721">
        <v>706</v>
      </c>
      <c r="M15" s="705">
        <v>96</v>
      </c>
      <c r="N15" s="23">
        <f>O15+P15</f>
        <v>48</v>
      </c>
      <c r="O15" s="702">
        <v>5</v>
      </c>
      <c r="P15" s="722">
        <v>43</v>
      </c>
    </row>
    <row r="16" spans="1:16" ht="16.5" customHeight="1">
      <c r="A16" s="230" t="s">
        <v>46</v>
      </c>
      <c r="B16" s="23">
        <f t="shared" si="2"/>
        <v>1387</v>
      </c>
      <c r="C16" s="702">
        <v>728</v>
      </c>
      <c r="D16" s="721">
        <v>659</v>
      </c>
      <c r="E16" s="705">
        <v>37</v>
      </c>
      <c r="F16" s="23">
        <f t="shared" si="3"/>
        <v>1531</v>
      </c>
      <c r="G16" s="702">
        <v>726</v>
      </c>
      <c r="H16" s="721">
        <v>805</v>
      </c>
      <c r="I16" s="705">
        <v>67</v>
      </c>
      <c r="J16" s="23">
        <f>K16+L16</f>
        <v>1340</v>
      </c>
      <c r="K16" s="702">
        <v>660</v>
      </c>
      <c r="L16" s="721">
        <v>680</v>
      </c>
      <c r="M16" s="705">
        <v>97</v>
      </c>
      <c r="N16" s="23">
        <f>O16+P16</f>
        <v>57</v>
      </c>
      <c r="O16" s="702">
        <v>11</v>
      </c>
      <c r="P16" s="722">
        <v>46</v>
      </c>
    </row>
    <row r="17" spans="1:16" ht="16.5" customHeight="1">
      <c r="A17" s="230" t="s">
        <v>47</v>
      </c>
      <c r="B17" s="23">
        <f t="shared" si="2"/>
        <v>1415</v>
      </c>
      <c r="C17" s="702">
        <v>704</v>
      </c>
      <c r="D17" s="721">
        <v>711</v>
      </c>
      <c r="E17" s="705">
        <v>38</v>
      </c>
      <c r="F17" s="23">
        <f t="shared" si="3"/>
        <v>1668</v>
      </c>
      <c r="G17" s="702">
        <v>830</v>
      </c>
      <c r="H17" s="721">
        <v>838</v>
      </c>
      <c r="I17" s="705">
        <v>68</v>
      </c>
      <c r="J17" s="23">
        <f>K17+L17</f>
        <v>1335</v>
      </c>
      <c r="K17" s="702">
        <v>653</v>
      </c>
      <c r="L17" s="721">
        <v>682</v>
      </c>
      <c r="M17" s="705">
        <v>98</v>
      </c>
      <c r="N17" s="23">
        <f>O17+P17</f>
        <v>23</v>
      </c>
      <c r="O17" s="702">
        <v>3</v>
      </c>
      <c r="P17" s="722">
        <v>20</v>
      </c>
    </row>
    <row r="18" spans="1:16" ht="16.5" customHeight="1">
      <c r="A18" s="230" t="s">
        <v>48</v>
      </c>
      <c r="B18" s="23">
        <f t="shared" si="2"/>
        <v>1397</v>
      </c>
      <c r="C18" s="702">
        <v>721</v>
      </c>
      <c r="D18" s="721">
        <v>676</v>
      </c>
      <c r="E18" s="705">
        <v>39</v>
      </c>
      <c r="F18" s="23">
        <f t="shared" si="3"/>
        <v>1617</v>
      </c>
      <c r="G18" s="702">
        <v>778</v>
      </c>
      <c r="H18" s="721">
        <v>839</v>
      </c>
      <c r="I18" s="705">
        <v>69</v>
      </c>
      <c r="J18" s="23">
        <f>K18+L18</f>
        <v>1280</v>
      </c>
      <c r="K18" s="702">
        <v>629</v>
      </c>
      <c r="L18" s="721">
        <v>651</v>
      </c>
      <c r="M18" s="705">
        <v>99</v>
      </c>
      <c r="N18" s="23">
        <f>O18+P18</f>
        <v>29</v>
      </c>
      <c r="O18" s="702">
        <v>1</v>
      </c>
      <c r="P18" s="722">
        <v>28</v>
      </c>
    </row>
    <row r="19" spans="1:16" ht="16.5" customHeight="1">
      <c r="A19" s="231" t="s">
        <v>49</v>
      </c>
      <c r="B19" s="719">
        <f>SUM(B14:B18)</f>
        <v>6992</v>
      </c>
      <c r="C19" s="703">
        <f>SUM(C14:C18)</f>
        <v>3546</v>
      </c>
      <c r="D19" s="703">
        <f>SUM(D14:D18)</f>
        <v>3446</v>
      </c>
      <c r="E19" s="20" t="s">
        <v>50</v>
      </c>
      <c r="F19" s="719">
        <f>SUM(F14:F18)</f>
        <v>7807</v>
      </c>
      <c r="G19" s="703">
        <f>SUM(G14:G18)</f>
        <v>3760</v>
      </c>
      <c r="H19" s="723">
        <f>SUM(H14:H18)</f>
        <v>4047</v>
      </c>
      <c r="I19" s="20" t="s">
        <v>51</v>
      </c>
      <c r="J19" s="719">
        <f>SUM(J14:J18)</f>
        <v>6844</v>
      </c>
      <c r="K19" s="703">
        <f>SUM(K14:K18)</f>
        <v>3329</v>
      </c>
      <c r="L19" s="703">
        <f>SUM(L14:L18)</f>
        <v>3515</v>
      </c>
      <c r="M19" s="20" t="s">
        <v>52</v>
      </c>
      <c r="N19" s="719">
        <f>SUM(N14:N18)</f>
        <v>220</v>
      </c>
      <c r="O19" s="703">
        <f>SUM(O14:O18)</f>
        <v>32</v>
      </c>
      <c r="P19" s="724">
        <f>SUM(P14:P18)</f>
        <v>188</v>
      </c>
    </row>
    <row r="20" spans="1:16" ht="16.5" customHeight="1">
      <c r="A20" s="228"/>
      <c r="B20" s="23"/>
      <c r="C20" s="702"/>
      <c r="D20" s="721"/>
      <c r="E20" s="21"/>
      <c r="F20" s="23"/>
      <c r="G20" s="702"/>
      <c r="H20" s="721"/>
      <c r="I20" s="21"/>
      <c r="J20" s="23"/>
      <c r="K20" s="702"/>
      <c r="L20" s="721"/>
      <c r="M20" s="21"/>
      <c r="N20" s="23"/>
      <c r="O20" s="702"/>
      <c r="P20" s="722"/>
    </row>
    <row r="21" spans="1:16" ht="16.5" customHeight="1">
      <c r="A21" s="227">
        <v>10</v>
      </c>
      <c r="B21" s="23">
        <f>SUM(C21:D21)</f>
        <v>1454</v>
      </c>
      <c r="C21" s="702">
        <v>749</v>
      </c>
      <c r="D21" s="721">
        <v>705</v>
      </c>
      <c r="E21" s="705">
        <v>40</v>
      </c>
      <c r="F21" s="23">
        <f>SUM(G21:H21)</f>
        <v>1692</v>
      </c>
      <c r="G21" s="702">
        <v>841</v>
      </c>
      <c r="H21" s="721">
        <v>851</v>
      </c>
      <c r="I21" s="705">
        <v>70</v>
      </c>
      <c r="J21" s="23">
        <f>K21+L21</f>
        <v>600</v>
      </c>
      <c r="K21" s="702">
        <v>289</v>
      </c>
      <c r="L21" s="721">
        <v>311</v>
      </c>
      <c r="M21" s="705">
        <v>100</v>
      </c>
      <c r="N21" s="23">
        <f>O21+P21</f>
        <v>21</v>
      </c>
      <c r="O21" s="702">
        <v>2</v>
      </c>
      <c r="P21" s="722">
        <v>19</v>
      </c>
    </row>
    <row r="22" spans="1:16" ht="16.5" customHeight="1">
      <c r="A22" s="227">
        <v>11</v>
      </c>
      <c r="B22" s="23">
        <f t="shared" ref="B22:B25" si="4">SUM(C22:D22)</f>
        <v>1297</v>
      </c>
      <c r="C22" s="702">
        <v>669</v>
      </c>
      <c r="D22" s="721">
        <v>628</v>
      </c>
      <c r="E22" s="705">
        <v>41</v>
      </c>
      <c r="F22" s="23">
        <f t="shared" ref="F22:F25" si="5">SUM(G22:H22)</f>
        <v>1765</v>
      </c>
      <c r="G22" s="702">
        <v>875</v>
      </c>
      <c r="H22" s="721">
        <v>890</v>
      </c>
      <c r="I22" s="705">
        <v>71</v>
      </c>
      <c r="J22" s="23">
        <f>K22+L22</f>
        <v>566</v>
      </c>
      <c r="K22" s="702">
        <v>270</v>
      </c>
      <c r="L22" s="721">
        <v>296</v>
      </c>
      <c r="M22" s="705">
        <v>101</v>
      </c>
      <c r="N22" s="23">
        <f>O22+P22</f>
        <v>11</v>
      </c>
      <c r="O22" s="702">
        <v>2</v>
      </c>
      <c r="P22" s="722">
        <v>9</v>
      </c>
    </row>
    <row r="23" spans="1:16" ht="16.5" customHeight="1">
      <c r="A23" s="227">
        <v>12</v>
      </c>
      <c r="B23" s="23">
        <f t="shared" si="4"/>
        <v>1380</v>
      </c>
      <c r="C23" s="702">
        <v>722</v>
      </c>
      <c r="D23" s="721">
        <v>658</v>
      </c>
      <c r="E23" s="705">
        <v>42</v>
      </c>
      <c r="F23" s="23">
        <f t="shared" si="5"/>
        <v>1908</v>
      </c>
      <c r="G23" s="702">
        <v>951</v>
      </c>
      <c r="H23" s="721">
        <v>957</v>
      </c>
      <c r="I23" s="705">
        <v>72</v>
      </c>
      <c r="J23" s="23">
        <f>K23+L23</f>
        <v>789</v>
      </c>
      <c r="K23" s="702">
        <v>366</v>
      </c>
      <c r="L23" s="721">
        <v>423</v>
      </c>
      <c r="M23" s="705">
        <v>102</v>
      </c>
      <c r="N23" s="23">
        <f>O23+P23</f>
        <v>8</v>
      </c>
      <c r="O23" s="702">
        <v>3</v>
      </c>
      <c r="P23" s="722">
        <v>5</v>
      </c>
    </row>
    <row r="24" spans="1:16" ht="16.5" customHeight="1">
      <c r="A24" s="227">
        <v>13</v>
      </c>
      <c r="B24" s="23">
        <f t="shared" si="4"/>
        <v>1421</v>
      </c>
      <c r="C24" s="702">
        <v>741</v>
      </c>
      <c r="D24" s="721">
        <v>680</v>
      </c>
      <c r="E24" s="705">
        <v>43</v>
      </c>
      <c r="F24" s="23">
        <f t="shared" si="5"/>
        <v>1904</v>
      </c>
      <c r="G24" s="702">
        <v>906</v>
      </c>
      <c r="H24" s="721">
        <v>998</v>
      </c>
      <c r="I24" s="705">
        <v>73</v>
      </c>
      <c r="J24" s="23">
        <f>K24+L24</f>
        <v>863</v>
      </c>
      <c r="K24" s="702">
        <v>396</v>
      </c>
      <c r="L24" s="721">
        <v>467</v>
      </c>
      <c r="M24" s="705">
        <v>103</v>
      </c>
      <c r="N24" s="23">
        <f>O24+P24</f>
        <v>5</v>
      </c>
      <c r="O24" s="702">
        <v>0</v>
      </c>
      <c r="P24" s="722">
        <v>5</v>
      </c>
    </row>
    <row r="25" spans="1:16" ht="16.5" customHeight="1">
      <c r="A25" s="227">
        <v>14</v>
      </c>
      <c r="B25" s="23">
        <f t="shared" si="4"/>
        <v>1398</v>
      </c>
      <c r="C25" s="702">
        <v>719</v>
      </c>
      <c r="D25" s="721">
        <v>679</v>
      </c>
      <c r="E25" s="705">
        <v>44</v>
      </c>
      <c r="F25" s="23">
        <f t="shared" si="5"/>
        <v>1847</v>
      </c>
      <c r="G25" s="702">
        <v>934</v>
      </c>
      <c r="H25" s="721">
        <v>913</v>
      </c>
      <c r="I25" s="705">
        <v>74</v>
      </c>
      <c r="J25" s="23">
        <f>K25+L25</f>
        <v>831</v>
      </c>
      <c r="K25" s="702">
        <v>387</v>
      </c>
      <c r="L25" s="721">
        <v>444</v>
      </c>
      <c r="M25" s="705">
        <v>104</v>
      </c>
      <c r="N25" s="23">
        <f>O25+P25</f>
        <v>1</v>
      </c>
      <c r="O25" s="725">
        <v>0</v>
      </c>
      <c r="P25" s="722">
        <v>1</v>
      </c>
    </row>
    <row r="26" spans="1:16" ht="16.5" customHeight="1">
      <c r="A26" s="229" t="s">
        <v>53</v>
      </c>
      <c r="B26" s="719">
        <f>SUM(B21:B25)</f>
        <v>6950</v>
      </c>
      <c r="C26" s="703">
        <f>SUM(C21:C25)</f>
        <v>3600</v>
      </c>
      <c r="D26" s="703">
        <f>SUM(D21:D25)</f>
        <v>3350</v>
      </c>
      <c r="E26" s="20" t="s">
        <v>54</v>
      </c>
      <c r="F26" s="719">
        <f>SUM(F21:F25)</f>
        <v>9116</v>
      </c>
      <c r="G26" s="703">
        <f>SUM(G21:G25)</f>
        <v>4507</v>
      </c>
      <c r="H26" s="723">
        <f>SUM(H21:H25)</f>
        <v>4609</v>
      </c>
      <c r="I26" s="24" t="s">
        <v>55</v>
      </c>
      <c r="J26" s="719">
        <f>SUM(J21:J25)</f>
        <v>3649</v>
      </c>
      <c r="K26" s="703">
        <f>SUM(K21:K25)</f>
        <v>1708</v>
      </c>
      <c r="L26" s="703">
        <f>SUM(L21:L25)</f>
        <v>1941</v>
      </c>
      <c r="M26" s="20" t="s">
        <v>56</v>
      </c>
      <c r="N26" s="719">
        <f>SUM(N21:N25)</f>
        <v>46</v>
      </c>
      <c r="O26" s="703">
        <f>SUM(O21:O25)</f>
        <v>7</v>
      </c>
      <c r="P26" s="724">
        <f>SUM(P21:P25)</f>
        <v>39</v>
      </c>
    </row>
    <row r="27" spans="1:16" ht="16.5" customHeight="1">
      <c r="A27" s="228"/>
      <c r="B27" s="23"/>
      <c r="C27" s="702"/>
      <c r="D27" s="721"/>
      <c r="E27" s="21"/>
      <c r="F27" s="23"/>
      <c r="G27" s="702"/>
      <c r="H27" s="721"/>
      <c r="I27" s="21"/>
      <c r="J27" s="23"/>
      <c r="K27" s="702"/>
      <c r="L27" s="721"/>
      <c r="M27" s="21"/>
      <c r="N27" s="23"/>
      <c r="O27" s="702"/>
      <c r="P27" s="722"/>
    </row>
    <row r="28" spans="1:16" ht="16.5" customHeight="1">
      <c r="A28" s="227">
        <v>15</v>
      </c>
      <c r="B28" s="23">
        <f>SUM(C28:D28)</f>
        <v>1492</v>
      </c>
      <c r="C28" s="702">
        <v>759</v>
      </c>
      <c r="D28" s="721">
        <v>733</v>
      </c>
      <c r="E28" s="705">
        <v>45</v>
      </c>
      <c r="F28" s="23">
        <f>SUM(G28:H28)</f>
        <v>1804</v>
      </c>
      <c r="G28" s="702">
        <v>871</v>
      </c>
      <c r="H28" s="721">
        <v>933</v>
      </c>
      <c r="I28" s="705">
        <v>75</v>
      </c>
      <c r="J28" s="23">
        <f>K28+L28</f>
        <v>955</v>
      </c>
      <c r="K28" s="702">
        <v>431</v>
      </c>
      <c r="L28" s="721">
        <v>524</v>
      </c>
      <c r="M28" s="20" t="s">
        <v>57</v>
      </c>
      <c r="N28" s="719">
        <f>SUM(O28:P28)</f>
        <v>2</v>
      </c>
      <c r="O28" s="726">
        <v>0</v>
      </c>
      <c r="P28" s="724">
        <v>2</v>
      </c>
    </row>
    <row r="29" spans="1:16" ht="16.5" customHeight="1">
      <c r="A29" s="227">
        <v>16</v>
      </c>
      <c r="B29" s="23">
        <f t="shared" ref="B29:B32" si="6">SUM(C29:D29)</f>
        <v>1406</v>
      </c>
      <c r="C29" s="702">
        <v>695</v>
      </c>
      <c r="D29" s="721">
        <v>711</v>
      </c>
      <c r="E29" s="705">
        <v>46</v>
      </c>
      <c r="F29" s="23">
        <f t="shared" ref="F29:F32" si="7">SUM(G29:H29)</f>
        <v>1680</v>
      </c>
      <c r="G29" s="702">
        <v>798</v>
      </c>
      <c r="H29" s="721">
        <v>882</v>
      </c>
      <c r="I29" s="705">
        <v>76</v>
      </c>
      <c r="J29" s="23">
        <f>K29+L29</f>
        <v>879</v>
      </c>
      <c r="K29" s="702">
        <v>410</v>
      </c>
      <c r="L29" s="721">
        <v>469</v>
      </c>
      <c r="M29" s="21"/>
      <c r="N29" s="23"/>
      <c r="O29" s="702"/>
      <c r="P29" s="722"/>
    </row>
    <row r="30" spans="1:16" ht="16.5" customHeight="1">
      <c r="A30" s="227">
        <v>17</v>
      </c>
      <c r="B30" s="23">
        <f t="shared" si="6"/>
        <v>1398</v>
      </c>
      <c r="C30" s="702">
        <v>718</v>
      </c>
      <c r="D30" s="721">
        <v>680</v>
      </c>
      <c r="E30" s="705">
        <v>47</v>
      </c>
      <c r="F30" s="23">
        <f t="shared" si="7"/>
        <v>1657</v>
      </c>
      <c r="G30" s="702">
        <v>846</v>
      </c>
      <c r="H30" s="721">
        <v>811</v>
      </c>
      <c r="I30" s="705">
        <v>77</v>
      </c>
      <c r="J30" s="23">
        <f>K30+L30</f>
        <v>834</v>
      </c>
      <c r="K30" s="702">
        <v>376</v>
      </c>
      <c r="L30" s="721">
        <v>458</v>
      </c>
      <c r="M30" s="21"/>
      <c r="N30" s="23"/>
      <c r="O30" s="702"/>
      <c r="P30" s="722"/>
    </row>
    <row r="31" spans="1:16" ht="16.5" customHeight="1">
      <c r="A31" s="227">
        <v>18</v>
      </c>
      <c r="B31" s="23">
        <f t="shared" si="6"/>
        <v>1459</v>
      </c>
      <c r="C31" s="702">
        <v>763</v>
      </c>
      <c r="D31" s="721">
        <v>696</v>
      </c>
      <c r="E31" s="705">
        <v>48</v>
      </c>
      <c r="F31" s="23">
        <f t="shared" si="7"/>
        <v>1739</v>
      </c>
      <c r="G31" s="702">
        <v>838</v>
      </c>
      <c r="H31" s="721">
        <v>901</v>
      </c>
      <c r="I31" s="705">
        <v>78</v>
      </c>
      <c r="J31" s="23">
        <f>K31+L31</f>
        <v>763</v>
      </c>
      <c r="K31" s="702">
        <v>363</v>
      </c>
      <c r="L31" s="721">
        <v>400</v>
      </c>
      <c r="M31" s="21" t="s">
        <v>58</v>
      </c>
      <c r="N31" s="23"/>
      <c r="O31" s="702"/>
      <c r="P31" s="722"/>
    </row>
    <row r="32" spans="1:16" ht="16.5" customHeight="1">
      <c r="A32" s="227">
        <v>19</v>
      </c>
      <c r="B32" s="23">
        <f t="shared" si="6"/>
        <v>1286</v>
      </c>
      <c r="C32" s="702">
        <v>651</v>
      </c>
      <c r="D32" s="721">
        <v>635</v>
      </c>
      <c r="E32" s="705">
        <v>49</v>
      </c>
      <c r="F32" s="23">
        <f t="shared" si="7"/>
        <v>1730</v>
      </c>
      <c r="G32" s="702">
        <v>856</v>
      </c>
      <c r="H32" s="721">
        <v>874</v>
      </c>
      <c r="I32" s="705">
        <v>79</v>
      </c>
      <c r="J32" s="23">
        <f>K32+L32</f>
        <v>744</v>
      </c>
      <c r="K32" s="702">
        <v>325</v>
      </c>
      <c r="L32" s="721">
        <v>419</v>
      </c>
      <c r="M32" s="21" t="s">
        <v>59</v>
      </c>
      <c r="N32" s="23">
        <f>SUM(O32:P32)</f>
        <v>86517</v>
      </c>
      <c r="O32" s="702">
        <f>SUM(C40+C47+G12+G19+G26+G33+G40+G47+K12+K19+K26+K33+K40+K47+O12+O19+O26+O28)</f>
        <v>41602</v>
      </c>
      <c r="P32" s="722">
        <f>SUM(D40+D47+H12+H19+H26+H33+H40+H47+L12+L19+L26+L33+L40+L47+P12+P19+P26+P28)</f>
        <v>44915</v>
      </c>
    </row>
    <row r="33" spans="1:19" ht="16.5" customHeight="1">
      <c r="A33" s="229" t="s">
        <v>60</v>
      </c>
      <c r="B33" s="719">
        <f>SUM(B28:B32)</f>
        <v>7041</v>
      </c>
      <c r="C33" s="703">
        <f>SUM(C28:C32)</f>
        <v>3586</v>
      </c>
      <c r="D33" s="703">
        <f>SUM(D28:D32)</f>
        <v>3455</v>
      </c>
      <c r="E33" s="20" t="s">
        <v>61</v>
      </c>
      <c r="F33" s="719">
        <f>SUM(F28:F32)</f>
        <v>8610</v>
      </c>
      <c r="G33" s="703">
        <f>SUM(G28:G32)</f>
        <v>4209</v>
      </c>
      <c r="H33" s="723">
        <f>SUM(H28:H32)</f>
        <v>4401</v>
      </c>
      <c r="I33" s="20" t="s">
        <v>62</v>
      </c>
      <c r="J33" s="719">
        <f>SUM(J28:J32)</f>
        <v>4175</v>
      </c>
      <c r="K33" s="703">
        <f>SUM(K28:K32)</f>
        <v>1905</v>
      </c>
      <c r="L33" s="703">
        <f>SUM(L28:L32)</f>
        <v>2270</v>
      </c>
      <c r="M33" s="21" t="s">
        <v>63</v>
      </c>
      <c r="N33" s="23">
        <f>SUM(O33:P33)</f>
        <v>52697</v>
      </c>
      <c r="O33" s="702">
        <f>SUM(C33+C40+C47+G12+G19+G26+G33)</f>
        <v>26177</v>
      </c>
      <c r="P33" s="722">
        <f>SUM(D33+D40+D47+H12+H19+H26+H33)</f>
        <v>26520</v>
      </c>
    </row>
    <row r="34" spans="1:19" ht="16.5" customHeight="1">
      <c r="A34" s="228"/>
      <c r="B34" s="23"/>
      <c r="C34" s="702"/>
      <c r="D34" s="721"/>
      <c r="E34" s="21"/>
      <c r="F34" s="23"/>
      <c r="G34" s="702"/>
      <c r="H34" s="721"/>
      <c r="I34" s="21"/>
      <c r="J34" s="23"/>
      <c r="K34" s="702"/>
      <c r="L34" s="721"/>
      <c r="M34" s="21" t="s">
        <v>64</v>
      </c>
      <c r="N34" s="23">
        <f>SUM(O34:P34)</f>
        <v>27014</v>
      </c>
      <c r="O34" s="702">
        <f>SUM(K12+K19+K26+K33+K40+K47+O12+O19+O26+O28)</f>
        <v>12212</v>
      </c>
      <c r="P34" s="722">
        <f>SUM(L12+L19+L26+L33+L40+L47+P12+P19+P26+P28)</f>
        <v>14802</v>
      </c>
    </row>
    <row r="35" spans="1:19" ht="16.5" customHeight="1">
      <c r="A35" s="227">
        <v>20</v>
      </c>
      <c r="B35" s="23">
        <f>SUM(C35:D35)</f>
        <v>1277</v>
      </c>
      <c r="C35" s="702">
        <v>700</v>
      </c>
      <c r="D35" s="721">
        <v>577</v>
      </c>
      <c r="E35" s="705">
        <v>50</v>
      </c>
      <c r="F35" s="23">
        <f>SUM(G35:H35)</f>
        <v>1336</v>
      </c>
      <c r="G35" s="702">
        <v>633</v>
      </c>
      <c r="H35" s="721">
        <v>703</v>
      </c>
      <c r="I35" s="705">
        <v>80</v>
      </c>
      <c r="J35" s="23">
        <f>K35+L35</f>
        <v>730</v>
      </c>
      <c r="K35" s="702">
        <v>315</v>
      </c>
      <c r="L35" s="721">
        <v>415</v>
      </c>
      <c r="M35" s="21" t="s">
        <v>65</v>
      </c>
      <c r="N35" s="23">
        <f>SUM(O35:P35)</f>
        <v>13389</v>
      </c>
      <c r="O35" s="702">
        <f>SUM(K26+K33+K40+K47+O12+O19+O26+O28)</f>
        <v>5617</v>
      </c>
      <c r="P35" s="722">
        <f>SUM(L26+L33+L40+L47+P12+P19+P26+P28)</f>
        <v>7772</v>
      </c>
    </row>
    <row r="36" spans="1:19" ht="16.5" customHeight="1">
      <c r="A36" s="227">
        <v>21</v>
      </c>
      <c r="B36" s="23">
        <f t="shared" ref="B36:B39" si="8">SUM(C36:D36)</f>
        <v>1245</v>
      </c>
      <c r="C36" s="702">
        <v>617</v>
      </c>
      <c r="D36" s="721">
        <v>628</v>
      </c>
      <c r="E36" s="705">
        <v>51</v>
      </c>
      <c r="F36" s="23">
        <f t="shared" ref="F36:F39" si="9">SUM(G36:H36)</f>
        <v>1424</v>
      </c>
      <c r="G36" s="702">
        <v>692</v>
      </c>
      <c r="H36" s="721">
        <v>732</v>
      </c>
      <c r="I36" s="705">
        <v>81</v>
      </c>
      <c r="J36" s="23">
        <f>K36+L36</f>
        <v>666</v>
      </c>
      <c r="K36" s="702">
        <v>279</v>
      </c>
      <c r="L36" s="721">
        <v>387</v>
      </c>
      <c r="M36" s="21" t="s">
        <v>66</v>
      </c>
      <c r="N36" s="23">
        <f>SUM(O36:P36)</f>
        <v>9740</v>
      </c>
      <c r="O36" s="702">
        <f>SUM(K33+K40+K47+O12+O19+O26+O28)</f>
        <v>3909</v>
      </c>
      <c r="P36" s="722">
        <f>SUM(L33+L40+L47+P12+P19+P26+P28)</f>
        <v>5831</v>
      </c>
      <c r="R36" s="25"/>
      <c r="S36" s="25"/>
    </row>
    <row r="37" spans="1:19" ht="16.5" customHeight="1">
      <c r="A37" s="227">
        <v>22</v>
      </c>
      <c r="B37" s="23">
        <f t="shared" si="8"/>
        <v>1231</v>
      </c>
      <c r="C37" s="702">
        <v>620</v>
      </c>
      <c r="D37" s="721">
        <v>611</v>
      </c>
      <c r="E37" s="705">
        <v>52</v>
      </c>
      <c r="F37" s="23">
        <f t="shared" si="9"/>
        <v>1451</v>
      </c>
      <c r="G37" s="702">
        <v>727</v>
      </c>
      <c r="H37" s="721">
        <v>724</v>
      </c>
      <c r="I37" s="705">
        <v>82</v>
      </c>
      <c r="J37" s="23">
        <f>K37+L37</f>
        <v>627</v>
      </c>
      <c r="K37" s="702">
        <v>247</v>
      </c>
      <c r="L37" s="721">
        <v>380</v>
      </c>
      <c r="M37" s="21"/>
      <c r="N37" s="23"/>
      <c r="O37" s="702"/>
      <c r="P37" s="722"/>
    </row>
    <row r="38" spans="1:19" ht="16.5" customHeight="1">
      <c r="A38" s="227">
        <v>23</v>
      </c>
      <c r="B38" s="23">
        <f t="shared" si="8"/>
        <v>1273</v>
      </c>
      <c r="C38" s="702">
        <v>653</v>
      </c>
      <c r="D38" s="721">
        <v>620</v>
      </c>
      <c r="E38" s="705">
        <v>53</v>
      </c>
      <c r="F38" s="23">
        <f t="shared" si="9"/>
        <v>1488</v>
      </c>
      <c r="G38" s="702">
        <v>700</v>
      </c>
      <c r="H38" s="721">
        <v>788</v>
      </c>
      <c r="I38" s="705">
        <v>83</v>
      </c>
      <c r="J38" s="23">
        <f>K38+L38</f>
        <v>524</v>
      </c>
      <c r="K38" s="702">
        <v>228</v>
      </c>
      <c r="L38" s="721">
        <v>296</v>
      </c>
      <c r="M38" s="21" t="s">
        <v>67</v>
      </c>
      <c r="N38" s="23">
        <f>SUM(O38:P38)</f>
        <v>20779</v>
      </c>
      <c r="O38" s="702">
        <f>SUM(C12+C19+C26)</f>
        <v>10599</v>
      </c>
      <c r="P38" s="722">
        <f>SUM(D12+D19+D26)</f>
        <v>10180</v>
      </c>
    </row>
    <row r="39" spans="1:19" ht="16.5" customHeight="1">
      <c r="A39" s="227">
        <v>24</v>
      </c>
      <c r="B39" s="23">
        <f t="shared" si="8"/>
        <v>1205</v>
      </c>
      <c r="C39" s="702">
        <v>636</v>
      </c>
      <c r="D39" s="721">
        <v>569</v>
      </c>
      <c r="E39" s="705">
        <v>54</v>
      </c>
      <c r="F39" s="23">
        <f t="shared" si="9"/>
        <v>1375</v>
      </c>
      <c r="G39" s="702">
        <v>653</v>
      </c>
      <c r="H39" s="721">
        <v>722</v>
      </c>
      <c r="I39" s="705">
        <v>84</v>
      </c>
      <c r="J39" s="23">
        <f>K39+L39</f>
        <v>517</v>
      </c>
      <c r="K39" s="702">
        <v>202</v>
      </c>
      <c r="L39" s="721">
        <v>315</v>
      </c>
      <c r="M39" s="21" t="s">
        <v>68</v>
      </c>
      <c r="N39" s="23">
        <f>SUM(O39:P39)</f>
        <v>73325</v>
      </c>
      <c r="O39" s="702">
        <f>SUM(C33+C40+C47+G12+G19+G26+G33+G40+G47+K12)</f>
        <v>36242</v>
      </c>
      <c r="P39" s="722">
        <f>SUM(D33+D40+D47+H12+H19+H26+H33+H40+H47+L12)</f>
        <v>37083</v>
      </c>
    </row>
    <row r="40" spans="1:19" ht="16.5" customHeight="1">
      <c r="A40" s="229" t="s">
        <v>69</v>
      </c>
      <c r="B40" s="719">
        <f>SUM(B35:B39)</f>
        <v>6231</v>
      </c>
      <c r="C40" s="703">
        <f>SUM(C35:C39)</f>
        <v>3226</v>
      </c>
      <c r="D40" s="703">
        <f>SUM(D35:D39)</f>
        <v>3005</v>
      </c>
      <c r="E40" s="20" t="s">
        <v>70</v>
      </c>
      <c r="F40" s="719">
        <f>SUM(F35:F39)</f>
        <v>7074</v>
      </c>
      <c r="G40" s="703">
        <f>SUM(G35:G39)</f>
        <v>3405</v>
      </c>
      <c r="H40" s="723">
        <f>SUM(H35:H39)</f>
        <v>3669</v>
      </c>
      <c r="I40" s="20" t="s">
        <v>71</v>
      </c>
      <c r="J40" s="719">
        <f>SUM(J35:J39)</f>
        <v>3064</v>
      </c>
      <c r="K40" s="703">
        <f>SUM(K35:K39)</f>
        <v>1271</v>
      </c>
      <c r="L40" s="703">
        <f>SUM(L35:L39)</f>
        <v>1793</v>
      </c>
      <c r="M40" s="21" t="s">
        <v>72</v>
      </c>
      <c r="N40" s="23">
        <f>SUM(O40:P40)</f>
        <v>20233</v>
      </c>
      <c r="O40" s="702">
        <f>SUM(K19+K26+K33+K40+K47+O12+O19+O26+O28)</f>
        <v>8946</v>
      </c>
      <c r="P40" s="722">
        <f>SUM(L19+L26+L33+L40+L47+P12+P19+P26+P28)</f>
        <v>11287</v>
      </c>
    </row>
    <row r="41" spans="1:19" ht="16.5" customHeight="1">
      <c r="A41" s="228"/>
      <c r="B41" s="23"/>
      <c r="C41" s="702"/>
      <c r="D41" s="721"/>
      <c r="E41" s="21"/>
      <c r="F41" s="23"/>
      <c r="G41" s="702"/>
      <c r="H41" s="721"/>
      <c r="I41" s="21"/>
      <c r="J41" s="23"/>
      <c r="K41" s="702"/>
      <c r="L41" s="721"/>
      <c r="M41" s="21"/>
      <c r="N41" s="21"/>
      <c r="O41" s="701"/>
      <c r="P41" s="214"/>
    </row>
    <row r="42" spans="1:19" ht="16.5" customHeight="1">
      <c r="A42" s="227">
        <v>25</v>
      </c>
      <c r="B42" s="23">
        <f>SUM(C42:D42)</f>
        <v>1255</v>
      </c>
      <c r="C42" s="702">
        <v>617</v>
      </c>
      <c r="D42" s="721">
        <v>638</v>
      </c>
      <c r="E42" s="705">
        <v>55</v>
      </c>
      <c r="F42" s="23">
        <f>SUM(G42:H42)</f>
        <v>1452</v>
      </c>
      <c r="G42" s="702">
        <v>706</v>
      </c>
      <c r="H42" s="721">
        <v>746</v>
      </c>
      <c r="I42" s="705">
        <v>85</v>
      </c>
      <c r="J42" s="23">
        <f>K42+L42</f>
        <v>386</v>
      </c>
      <c r="K42" s="702">
        <v>136</v>
      </c>
      <c r="L42" s="721">
        <v>250</v>
      </c>
      <c r="M42" s="705" t="s">
        <v>73</v>
      </c>
      <c r="N42" s="21"/>
      <c r="O42" s="701"/>
      <c r="P42" s="214"/>
    </row>
    <row r="43" spans="1:19" ht="16.5" customHeight="1">
      <c r="A43" s="227">
        <v>26</v>
      </c>
      <c r="B43" s="23">
        <f t="shared" ref="B43:B46" si="10">SUM(C43:D43)</f>
        <v>1258</v>
      </c>
      <c r="C43" s="702">
        <v>654</v>
      </c>
      <c r="D43" s="721">
        <v>604</v>
      </c>
      <c r="E43" s="705">
        <v>56</v>
      </c>
      <c r="F43" s="23">
        <f t="shared" ref="F43:F46" si="11">SUM(G43:H43)</f>
        <v>1379</v>
      </c>
      <c r="G43" s="702">
        <v>703</v>
      </c>
      <c r="H43" s="721">
        <v>676</v>
      </c>
      <c r="I43" s="705">
        <v>86</v>
      </c>
      <c r="J43" s="23">
        <f>K43+L43</f>
        <v>353</v>
      </c>
      <c r="K43" s="702">
        <v>137</v>
      </c>
      <c r="L43" s="721">
        <v>216</v>
      </c>
      <c r="M43" s="21" t="s">
        <v>67</v>
      </c>
      <c r="N43" s="727">
        <f t="shared" ref="N43:P45" si="12">N38/$B$5</f>
        <v>0.18173469655492097</v>
      </c>
      <c r="O43" s="728">
        <f>O38/$B$5</f>
        <v>9.2699651031599564E-2</v>
      </c>
      <c r="P43" s="729">
        <f t="shared" si="12"/>
        <v>8.9035045523321407E-2</v>
      </c>
    </row>
    <row r="44" spans="1:19" ht="16.5" customHeight="1">
      <c r="A44" s="227">
        <v>27</v>
      </c>
      <c r="B44" s="23">
        <f t="shared" si="10"/>
        <v>1237</v>
      </c>
      <c r="C44" s="702">
        <v>602</v>
      </c>
      <c r="D44" s="721">
        <v>635</v>
      </c>
      <c r="E44" s="705">
        <v>57</v>
      </c>
      <c r="F44" s="23">
        <f t="shared" si="11"/>
        <v>1340</v>
      </c>
      <c r="G44" s="702">
        <v>662</v>
      </c>
      <c r="H44" s="721">
        <v>678</v>
      </c>
      <c r="I44" s="705">
        <v>87</v>
      </c>
      <c r="J44" s="23">
        <f>K44+L44</f>
        <v>310</v>
      </c>
      <c r="K44" s="702">
        <v>101</v>
      </c>
      <c r="L44" s="721">
        <v>209</v>
      </c>
      <c r="M44" s="21" t="s">
        <v>68</v>
      </c>
      <c r="N44" s="727">
        <f t="shared" si="12"/>
        <v>0.641305963948678</v>
      </c>
      <c r="O44" s="728">
        <f t="shared" si="12"/>
        <v>0.31697525735326271</v>
      </c>
      <c r="P44" s="729">
        <f t="shared" si="12"/>
        <v>0.3243307065954153</v>
      </c>
    </row>
    <row r="45" spans="1:19" ht="16.5" customHeight="1">
      <c r="A45" s="227">
        <v>28</v>
      </c>
      <c r="B45" s="23">
        <f t="shared" si="10"/>
        <v>1297</v>
      </c>
      <c r="C45" s="702">
        <v>652</v>
      </c>
      <c r="D45" s="721">
        <v>645</v>
      </c>
      <c r="E45" s="705">
        <v>58</v>
      </c>
      <c r="F45" s="23">
        <f t="shared" si="11"/>
        <v>1358</v>
      </c>
      <c r="G45" s="702">
        <v>688</v>
      </c>
      <c r="H45" s="721">
        <v>670</v>
      </c>
      <c r="I45" s="705">
        <v>88</v>
      </c>
      <c r="J45" s="23">
        <f>K45+L45</f>
        <v>283</v>
      </c>
      <c r="K45" s="702">
        <v>90</v>
      </c>
      <c r="L45" s="721">
        <v>193</v>
      </c>
      <c r="M45" s="21" t="s">
        <v>72</v>
      </c>
      <c r="N45" s="727">
        <f t="shared" si="12"/>
        <v>0.176959339496401</v>
      </c>
      <c r="O45" s="728">
        <f t="shared" si="12"/>
        <v>7.824238872805829E-2</v>
      </c>
      <c r="P45" s="729">
        <f t="shared" si="12"/>
        <v>9.8716950768342707E-2</v>
      </c>
    </row>
    <row r="46" spans="1:19" ht="16.5" customHeight="1">
      <c r="A46" s="227">
        <v>29</v>
      </c>
      <c r="B46" s="23">
        <f t="shared" si="10"/>
        <v>1322</v>
      </c>
      <c r="C46" s="702">
        <v>648</v>
      </c>
      <c r="D46" s="721">
        <v>674</v>
      </c>
      <c r="E46" s="705">
        <v>59</v>
      </c>
      <c r="F46" s="23">
        <f t="shared" si="11"/>
        <v>1244</v>
      </c>
      <c r="G46" s="702">
        <v>635</v>
      </c>
      <c r="H46" s="721">
        <v>609</v>
      </c>
      <c r="I46" s="705">
        <v>89</v>
      </c>
      <c r="J46" s="23">
        <f>K46+L46</f>
        <v>233</v>
      </c>
      <c r="K46" s="702">
        <v>67</v>
      </c>
      <c r="L46" s="721">
        <v>166</v>
      </c>
      <c r="M46" s="21"/>
      <c r="N46" s="730"/>
      <c r="O46" s="731"/>
      <c r="P46" s="732"/>
    </row>
    <row r="47" spans="1:19" ht="16.5" customHeight="1">
      <c r="A47" s="229" t="s">
        <v>74</v>
      </c>
      <c r="B47" s="719">
        <f>SUM(B42:B46)</f>
        <v>6369</v>
      </c>
      <c r="C47" s="703">
        <f>SUM(C42:C46)</f>
        <v>3173</v>
      </c>
      <c r="D47" s="703">
        <f>SUM(D42:D46)</f>
        <v>3196</v>
      </c>
      <c r="E47" s="20" t="s">
        <v>75</v>
      </c>
      <c r="F47" s="719">
        <f>SUM(F42:F46)</f>
        <v>6773</v>
      </c>
      <c r="G47" s="703">
        <f>SUM(G42:G46)</f>
        <v>3394</v>
      </c>
      <c r="H47" s="723">
        <f>SUM(H42:H46)</f>
        <v>3379</v>
      </c>
      <c r="I47" s="20" t="s">
        <v>76</v>
      </c>
      <c r="J47" s="719">
        <f>SUM(J42:J46)</f>
        <v>1565</v>
      </c>
      <c r="K47" s="703">
        <f>SUM(K42:K46)</f>
        <v>531</v>
      </c>
      <c r="L47" s="703">
        <f>SUM(L42:L46)</f>
        <v>1034</v>
      </c>
      <c r="M47" s="21" t="s">
        <v>77</v>
      </c>
      <c r="N47" s="733">
        <v>40</v>
      </c>
      <c r="O47" s="734">
        <v>38</v>
      </c>
      <c r="P47" s="735">
        <v>41</v>
      </c>
    </row>
    <row r="48" spans="1:19" ht="16.5" customHeight="1" thickBot="1">
      <c r="A48" s="233"/>
      <c r="B48" s="736"/>
      <c r="C48" s="704"/>
      <c r="D48" s="737"/>
      <c r="E48" s="234"/>
      <c r="F48" s="736"/>
      <c r="G48" s="704"/>
      <c r="H48" s="737"/>
      <c r="I48" s="234"/>
      <c r="J48" s="234"/>
      <c r="K48" s="738"/>
      <c r="L48" s="739"/>
      <c r="M48" s="234"/>
      <c r="N48" s="234"/>
      <c r="O48" s="738"/>
      <c r="P48" s="740"/>
    </row>
    <row r="49" spans="1:16" ht="18" customHeight="1">
      <c r="A49" s="14" t="s">
        <v>78</v>
      </c>
      <c r="B49" s="15"/>
      <c r="C49" s="15"/>
      <c r="D49" s="15"/>
      <c r="E49" s="245"/>
      <c r="F49" s="15"/>
      <c r="G49" s="15"/>
      <c r="H49" s="15"/>
      <c r="I49" s="246"/>
      <c r="J49" s="242"/>
      <c r="K49" s="242"/>
      <c r="L49" s="15"/>
      <c r="M49" s="245"/>
      <c r="N49" s="242"/>
      <c r="P49" s="16" t="s">
        <v>709</v>
      </c>
    </row>
  </sheetData>
  <sheetProtection selectLockedCells="1" selectUnlockedCells="1"/>
  <phoneticPr fontId="19"/>
  <printOptions horizontalCentered="1"/>
  <pageMargins left="0.59055118110236227" right="0.39370078740157483" top="0.59055118110236227" bottom="0.59055118110236227" header="0.39370078740157483" footer="0.39370078740157483"/>
  <pageSetup paperSize="9" firstPageNumber="0" orientation="portrait" r:id="rId1"/>
  <headerFooter scaleWithDoc="0" alignWithMargins="0">
    <oddHeader>&amp;R&amp;"ＭＳ 明朝,標準"&amp;10人　口</oddHeader>
    <oddFooter>&amp;C&amp;"ＭＳ 明朝,標準"&amp;12&amp;A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view="pageBreakPreview" zoomScaleNormal="120" zoomScaleSheetLayoutView="100" workbookViewId="0">
      <pane ySplit="5" topLeftCell="A6" activePane="bottomLeft" state="frozen"/>
      <selection pane="bottomLeft" activeCell="A59" sqref="A59"/>
    </sheetView>
  </sheetViews>
  <sheetFormatPr defaultRowHeight="14.1" customHeight="1"/>
  <cols>
    <col min="1" max="1" width="2.875" style="411" customWidth="1"/>
    <col min="2" max="2" width="14.125" style="411" customWidth="1"/>
    <col min="3" max="3" width="9.125" style="411" customWidth="1"/>
    <col min="4" max="4" width="10.375" style="411" customWidth="1"/>
    <col min="5" max="5" width="9.125" style="411" customWidth="1"/>
    <col min="6" max="6" width="10.125" style="411" customWidth="1"/>
    <col min="7" max="8" width="9.125" style="411" customWidth="1"/>
    <col min="9" max="9" width="9" style="411"/>
    <col min="10" max="10" width="9.875" style="411" customWidth="1"/>
    <col min="11" max="16384" width="9" style="411"/>
  </cols>
  <sheetData>
    <row r="1" spans="1:10" ht="4.5" customHeight="1">
      <c r="A1" s="410"/>
      <c r="B1" s="410"/>
      <c r="C1" s="410"/>
      <c r="D1" s="410"/>
      <c r="E1" s="410"/>
      <c r="F1" s="410"/>
      <c r="G1" s="410"/>
      <c r="H1" s="410"/>
      <c r="I1" s="410"/>
      <c r="J1" s="410"/>
    </row>
    <row r="2" spans="1:10" ht="14.1" customHeight="1" thickBot="1">
      <c r="A2" s="410" t="s">
        <v>79</v>
      </c>
      <c r="B2" s="410"/>
      <c r="C2" s="410"/>
      <c r="D2" s="410"/>
      <c r="E2" s="410"/>
      <c r="F2" s="410"/>
      <c r="G2" s="410"/>
      <c r="H2" s="410"/>
      <c r="I2" s="410"/>
      <c r="J2" s="471" t="s">
        <v>80</v>
      </c>
    </row>
    <row r="3" spans="1:10" ht="14.1" customHeight="1">
      <c r="A3" s="832" t="s">
        <v>81</v>
      </c>
      <c r="B3" s="833"/>
      <c r="C3" s="829" t="s">
        <v>18</v>
      </c>
      <c r="D3" s="829" t="s">
        <v>82</v>
      </c>
      <c r="E3" s="829" t="s">
        <v>18</v>
      </c>
      <c r="F3" s="829" t="s">
        <v>636</v>
      </c>
      <c r="G3" s="829"/>
      <c r="H3" s="829"/>
      <c r="I3" s="212" t="s">
        <v>83</v>
      </c>
      <c r="J3" s="213" t="s">
        <v>84</v>
      </c>
    </row>
    <row r="4" spans="1:10" ht="14.1" customHeight="1">
      <c r="A4" s="834"/>
      <c r="B4" s="835"/>
      <c r="C4" s="830"/>
      <c r="D4" s="830"/>
      <c r="E4" s="830"/>
      <c r="F4" s="830"/>
      <c r="G4" s="830"/>
      <c r="H4" s="830"/>
      <c r="I4" s="210" t="s">
        <v>540</v>
      </c>
      <c r="J4" s="214"/>
    </row>
    <row r="5" spans="1:10" ht="14.1" customHeight="1">
      <c r="A5" s="834"/>
      <c r="B5" s="835"/>
      <c r="C5" s="577" t="s">
        <v>634</v>
      </c>
      <c r="D5" s="577" t="s">
        <v>634</v>
      </c>
      <c r="E5" s="577" t="s">
        <v>635</v>
      </c>
      <c r="F5" s="17" t="s">
        <v>33</v>
      </c>
      <c r="G5" s="17" t="s">
        <v>21</v>
      </c>
      <c r="H5" s="17" t="s">
        <v>22</v>
      </c>
      <c r="I5" s="211" t="s">
        <v>85</v>
      </c>
      <c r="J5" s="412" t="s">
        <v>629</v>
      </c>
    </row>
    <row r="6" spans="1:10" ht="14.1" customHeight="1">
      <c r="A6" s="836" t="s">
        <v>86</v>
      </c>
      <c r="B6" s="837"/>
      <c r="C6" s="557">
        <v>47575</v>
      </c>
      <c r="D6" s="558">
        <v>114165</v>
      </c>
      <c r="E6" s="741">
        <f>E7+E14+E22+E28+E33+E39+E47+E55</f>
        <v>48216</v>
      </c>
      <c r="F6" s="741">
        <f>SUM(G6:H6)</f>
        <v>114337</v>
      </c>
      <c r="G6" s="741">
        <f>G7+G14+G22+G28+G33+G39+G47+G55</f>
        <v>55787</v>
      </c>
      <c r="H6" s="741">
        <f>H7+H14+H22+H28+H33+H39+H47+H55</f>
        <v>58550</v>
      </c>
      <c r="I6" s="559">
        <f>F6-D6</f>
        <v>172</v>
      </c>
      <c r="J6" s="560">
        <f>100/$F$6*F6*10</f>
        <v>1000</v>
      </c>
    </row>
    <row r="7" spans="1:10" ht="14.1" customHeight="1">
      <c r="A7" s="838" t="s">
        <v>87</v>
      </c>
      <c r="B7" s="216" t="s">
        <v>88</v>
      </c>
      <c r="C7" s="561">
        <v>3443</v>
      </c>
      <c r="D7" s="561">
        <v>8178</v>
      </c>
      <c r="E7" s="742">
        <f>SUM(E8:E13)</f>
        <v>3547</v>
      </c>
      <c r="F7" s="742">
        <f t="shared" ref="F7:F13" si="0">SUM(G7:H7)</f>
        <v>8254</v>
      </c>
      <c r="G7" s="742">
        <f>SUM(G8:G13)</f>
        <v>3982</v>
      </c>
      <c r="H7" s="742">
        <f>SUM(H8:H13)</f>
        <v>4272</v>
      </c>
      <c r="I7" s="562">
        <f>F7-D7</f>
        <v>76</v>
      </c>
      <c r="J7" s="563">
        <f>100/$F$6*F7*10</f>
        <v>72.190104690520116</v>
      </c>
    </row>
    <row r="8" spans="1:10" ht="14.1" customHeight="1">
      <c r="A8" s="839"/>
      <c r="B8" s="217" t="s">
        <v>89</v>
      </c>
      <c r="C8" s="565">
        <v>1925</v>
      </c>
      <c r="D8" s="564">
        <v>4523</v>
      </c>
      <c r="E8" s="565">
        <v>1983</v>
      </c>
      <c r="F8" s="565">
        <f t="shared" si="0"/>
        <v>4530</v>
      </c>
      <c r="G8" s="565">
        <v>2216</v>
      </c>
      <c r="H8" s="565">
        <v>2314</v>
      </c>
      <c r="I8" s="566">
        <f t="shared" ref="I8:I37" si="1">F8-D8</f>
        <v>7</v>
      </c>
      <c r="J8" s="567">
        <f>100/$F$6*F8*10</f>
        <v>39.619720650358147</v>
      </c>
    </row>
    <row r="9" spans="1:10" ht="14.1" customHeight="1">
      <c r="A9" s="839"/>
      <c r="B9" s="217" t="s">
        <v>90</v>
      </c>
      <c r="C9" s="565">
        <v>144</v>
      </c>
      <c r="D9" s="564">
        <v>326</v>
      </c>
      <c r="E9" s="565">
        <v>146</v>
      </c>
      <c r="F9" s="565">
        <f t="shared" si="0"/>
        <v>325</v>
      </c>
      <c r="G9" s="565">
        <v>155</v>
      </c>
      <c r="H9" s="565">
        <v>170</v>
      </c>
      <c r="I9" s="566">
        <f t="shared" si="1"/>
        <v>-1</v>
      </c>
      <c r="J9" s="567">
        <f t="shared" ref="J9:J55" si="2">100/$F$6*F9*10</f>
        <v>2.8424744395952315</v>
      </c>
    </row>
    <row r="10" spans="1:10" ht="14.1" customHeight="1">
      <c r="A10" s="839"/>
      <c r="B10" s="217" t="s">
        <v>91</v>
      </c>
      <c r="C10" s="565">
        <v>408</v>
      </c>
      <c r="D10" s="564">
        <v>849</v>
      </c>
      <c r="E10" s="565">
        <v>429</v>
      </c>
      <c r="F10" s="565">
        <f t="shared" si="0"/>
        <v>900</v>
      </c>
      <c r="G10" s="565">
        <v>433</v>
      </c>
      <c r="H10" s="565">
        <v>467</v>
      </c>
      <c r="I10" s="566">
        <f t="shared" si="1"/>
        <v>51</v>
      </c>
      <c r="J10" s="567">
        <f t="shared" si="2"/>
        <v>7.8714676788791031</v>
      </c>
    </row>
    <row r="11" spans="1:10" ht="14.1" customHeight="1">
      <c r="A11" s="839"/>
      <c r="B11" s="218" t="s">
        <v>92</v>
      </c>
      <c r="C11" s="565">
        <v>559</v>
      </c>
      <c r="D11" s="564">
        <v>1418</v>
      </c>
      <c r="E11" s="565">
        <v>572</v>
      </c>
      <c r="F11" s="565">
        <f t="shared" si="0"/>
        <v>1418</v>
      </c>
      <c r="G11" s="565">
        <v>679</v>
      </c>
      <c r="H11" s="565">
        <v>739</v>
      </c>
      <c r="I11" s="566">
        <f t="shared" si="1"/>
        <v>0</v>
      </c>
      <c r="J11" s="567">
        <f t="shared" si="2"/>
        <v>12.401934631833964</v>
      </c>
    </row>
    <row r="12" spans="1:10" ht="14.1" customHeight="1">
      <c r="A12" s="839"/>
      <c r="B12" s="217" t="s">
        <v>541</v>
      </c>
      <c r="C12" s="565">
        <v>236</v>
      </c>
      <c r="D12" s="564">
        <v>615</v>
      </c>
      <c r="E12" s="565">
        <v>242</v>
      </c>
      <c r="F12" s="565">
        <f t="shared" si="0"/>
        <v>640</v>
      </c>
      <c r="G12" s="565">
        <v>302</v>
      </c>
      <c r="H12" s="565">
        <v>338</v>
      </c>
      <c r="I12" s="566">
        <f t="shared" si="1"/>
        <v>25</v>
      </c>
      <c r="J12" s="567">
        <f t="shared" si="2"/>
        <v>5.5974881272029178</v>
      </c>
    </row>
    <row r="13" spans="1:10" ht="14.1" customHeight="1">
      <c r="A13" s="840"/>
      <c r="B13" s="219" t="s">
        <v>93</v>
      </c>
      <c r="C13" s="565">
        <v>171</v>
      </c>
      <c r="D13" s="564">
        <v>447</v>
      </c>
      <c r="E13" s="565">
        <v>175</v>
      </c>
      <c r="F13" s="565">
        <f t="shared" si="0"/>
        <v>441</v>
      </c>
      <c r="G13" s="565">
        <v>197</v>
      </c>
      <c r="H13" s="565">
        <v>244</v>
      </c>
      <c r="I13" s="566">
        <f>F13-D13</f>
        <v>-6</v>
      </c>
      <c r="J13" s="567">
        <f t="shared" si="2"/>
        <v>3.8570191626507606</v>
      </c>
    </row>
    <row r="14" spans="1:10" ht="14.1" customHeight="1">
      <c r="A14" s="838" t="s">
        <v>468</v>
      </c>
      <c r="B14" s="220" t="s">
        <v>88</v>
      </c>
      <c r="C14" s="561">
        <v>8405</v>
      </c>
      <c r="D14" s="561">
        <v>21009</v>
      </c>
      <c r="E14" s="742">
        <f>SUM(E15:E21)</f>
        <v>8534</v>
      </c>
      <c r="F14" s="742">
        <f>SUM(F15:F21)</f>
        <v>21120</v>
      </c>
      <c r="G14" s="742">
        <f>SUM(G15:G21)</f>
        <v>10133</v>
      </c>
      <c r="H14" s="742">
        <f>SUM(H15:H21)</f>
        <v>10987</v>
      </c>
      <c r="I14" s="562">
        <f>F14-D14</f>
        <v>111</v>
      </c>
      <c r="J14" s="563">
        <f t="shared" si="2"/>
        <v>184.71710819769626</v>
      </c>
    </row>
    <row r="15" spans="1:10" ht="14.1" customHeight="1">
      <c r="A15" s="839"/>
      <c r="B15" s="217" t="s">
        <v>94</v>
      </c>
      <c r="C15" s="565">
        <v>2163</v>
      </c>
      <c r="D15" s="564">
        <v>5451</v>
      </c>
      <c r="E15" s="565">
        <v>2079</v>
      </c>
      <c r="F15" s="565">
        <f t="shared" ref="F15:F21" si="3">SUM(G15:H15)</f>
        <v>5247</v>
      </c>
      <c r="G15" s="565">
        <v>2533</v>
      </c>
      <c r="H15" s="565">
        <v>2714</v>
      </c>
      <c r="I15" s="566">
        <f t="shared" si="1"/>
        <v>-204</v>
      </c>
      <c r="J15" s="567">
        <f t="shared" si="2"/>
        <v>45.890656567865165</v>
      </c>
    </row>
    <row r="16" spans="1:10" ht="14.1" customHeight="1">
      <c r="A16" s="839"/>
      <c r="B16" s="217" t="s">
        <v>95</v>
      </c>
      <c r="C16" s="565">
        <v>72</v>
      </c>
      <c r="D16" s="564">
        <v>145</v>
      </c>
      <c r="E16" s="565">
        <v>71</v>
      </c>
      <c r="F16" s="565">
        <f t="shared" si="3"/>
        <v>146</v>
      </c>
      <c r="G16" s="565">
        <v>67</v>
      </c>
      <c r="H16" s="565">
        <v>79</v>
      </c>
      <c r="I16" s="566">
        <f t="shared" si="1"/>
        <v>1</v>
      </c>
      <c r="J16" s="567">
        <f t="shared" si="2"/>
        <v>1.2769269790181657</v>
      </c>
    </row>
    <row r="17" spans="1:10" ht="14.1" customHeight="1">
      <c r="A17" s="839"/>
      <c r="B17" s="217" t="s">
        <v>96</v>
      </c>
      <c r="C17" s="565">
        <v>1691</v>
      </c>
      <c r="D17" s="564">
        <v>4317</v>
      </c>
      <c r="E17" s="565">
        <v>1706</v>
      </c>
      <c r="F17" s="565">
        <f t="shared" si="3"/>
        <v>4297</v>
      </c>
      <c r="G17" s="565">
        <v>2079</v>
      </c>
      <c r="H17" s="565">
        <v>2218</v>
      </c>
      <c r="I17" s="566">
        <f t="shared" si="1"/>
        <v>-20</v>
      </c>
      <c r="J17" s="567">
        <f t="shared" si="2"/>
        <v>37.581885129048338</v>
      </c>
    </row>
    <row r="18" spans="1:10" ht="14.1" customHeight="1">
      <c r="A18" s="839"/>
      <c r="B18" s="217" t="s">
        <v>97</v>
      </c>
      <c r="C18" s="565">
        <v>1575</v>
      </c>
      <c r="D18" s="564">
        <v>3864</v>
      </c>
      <c r="E18" s="565">
        <v>1602</v>
      </c>
      <c r="F18" s="565">
        <f t="shared" si="3"/>
        <v>3866</v>
      </c>
      <c r="G18" s="565">
        <v>1863</v>
      </c>
      <c r="H18" s="565">
        <v>2003</v>
      </c>
      <c r="I18" s="566">
        <f t="shared" si="1"/>
        <v>2</v>
      </c>
      <c r="J18" s="567">
        <f t="shared" si="2"/>
        <v>33.812326718385123</v>
      </c>
    </row>
    <row r="19" spans="1:10" ht="14.1" customHeight="1">
      <c r="A19" s="839"/>
      <c r="B19" s="217" t="s">
        <v>98</v>
      </c>
      <c r="C19" s="565">
        <v>2019</v>
      </c>
      <c r="D19" s="564">
        <v>5121</v>
      </c>
      <c r="E19" s="565">
        <v>2023</v>
      </c>
      <c r="F19" s="565">
        <f t="shared" si="3"/>
        <v>5059</v>
      </c>
      <c r="G19" s="565">
        <v>2398</v>
      </c>
      <c r="H19" s="565">
        <v>2661</v>
      </c>
      <c r="I19" s="566">
        <f t="shared" si="1"/>
        <v>-62</v>
      </c>
      <c r="J19" s="567">
        <f t="shared" si="2"/>
        <v>44.246394430499308</v>
      </c>
    </row>
    <row r="20" spans="1:10" ht="14.1" customHeight="1">
      <c r="A20" s="839"/>
      <c r="B20" s="217" t="s">
        <v>99</v>
      </c>
      <c r="C20" s="565">
        <v>885</v>
      </c>
      <c r="D20" s="564">
        <v>2111</v>
      </c>
      <c r="E20" s="565">
        <v>891</v>
      </c>
      <c r="F20" s="565">
        <f t="shared" si="3"/>
        <v>2144</v>
      </c>
      <c r="G20" s="565">
        <v>1038</v>
      </c>
      <c r="H20" s="565">
        <v>1106</v>
      </c>
      <c r="I20" s="566">
        <f t="shared" si="1"/>
        <v>33</v>
      </c>
      <c r="J20" s="567">
        <f t="shared" si="2"/>
        <v>18.751585226129773</v>
      </c>
    </row>
    <row r="21" spans="1:10" ht="14.1" customHeight="1">
      <c r="A21" s="840"/>
      <c r="B21" s="690" t="s">
        <v>711</v>
      </c>
      <c r="C21" s="691">
        <v>0</v>
      </c>
      <c r="D21" s="692">
        <v>0</v>
      </c>
      <c r="E21" s="565">
        <v>162</v>
      </c>
      <c r="F21" s="565">
        <f t="shared" si="3"/>
        <v>361</v>
      </c>
      <c r="G21" s="565">
        <v>155</v>
      </c>
      <c r="H21" s="565">
        <v>206</v>
      </c>
      <c r="I21" s="566">
        <f t="shared" si="1"/>
        <v>361</v>
      </c>
      <c r="J21" s="567">
        <f t="shared" si="2"/>
        <v>3.1573331467503958</v>
      </c>
    </row>
    <row r="22" spans="1:10" ht="14.1" customHeight="1">
      <c r="A22" s="831" t="s">
        <v>469</v>
      </c>
      <c r="B22" s="220" t="s">
        <v>88</v>
      </c>
      <c r="C22" s="561">
        <v>12189</v>
      </c>
      <c r="D22" s="561">
        <v>27081</v>
      </c>
      <c r="E22" s="742">
        <f t="shared" ref="E22:H22" si="4">SUM(E23:E27)</f>
        <v>12168</v>
      </c>
      <c r="F22" s="742">
        <f t="shared" si="4"/>
        <v>26883</v>
      </c>
      <c r="G22" s="742">
        <f t="shared" si="4"/>
        <v>13080</v>
      </c>
      <c r="H22" s="742">
        <f t="shared" si="4"/>
        <v>13803</v>
      </c>
      <c r="I22" s="562">
        <f t="shared" si="1"/>
        <v>-198</v>
      </c>
      <c r="J22" s="563">
        <f t="shared" si="2"/>
        <v>235.12073956811878</v>
      </c>
    </row>
    <row r="23" spans="1:10" ht="14.1" customHeight="1">
      <c r="A23" s="831"/>
      <c r="B23" s="217" t="s">
        <v>100</v>
      </c>
      <c r="C23" s="565">
        <v>2182</v>
      </c>
      <c r="D23" s="564">
        <v>4835</v>
      </c>
      <c r="E23" s="565">
        <v>2163</v>
      </c>
      <c r="F23" s="565">
        <f>SUM(G23:H23)</f>
        <v>4728</v>
      </c>
      <c r="G23" s="565">
        <v>2252</v>
      </c>
      <c r="H23" s="565">
        <v>2476</v>
      </c>
      <c r="I23" s="566">
        <f t="shared" si="1"/>
        <v>-107</v>
      </c>
      <c r="J23" s="567">
        <f t="shared" si="2"/>
        <v>41.351443539711553</v>
      </c>
    </row>
    <row r="24" spans="1:10" ht="14.1" customHeight="1">
      <c r="A24" s="831"/>
      <c r="B24" s="217" t="s">
        <v>101</v>
      </c>
      <c r="C24" s="565">
        <v>2086</v>
      </c>
      <c r="D24" s="564">
        <v>4493</v>
      </c>
      <c r="E24" s="565">
        <v>2098</v>
      </c>
      <c r="F24" s="565">
        <f>SUM(G24:H24)</f>
        <v>4461</v>
      </c>
      <c r="G24" s="565">
        <v>2160</v>
      </c>
      <c r="H24" s="565">
        <v>2301</v>
      </c>
      <c r="I24" s="566">
        <f t="shared" si="1"/>
        <v>-32</v>
      </c>
      <c r="J24" s="567">
        <f t="shared" si="2"/>
        <v>39.016241461644086</v>
      </c>
    </row>
    <row r="25" spans="1:10" ht="14.1" customHeight="1">
      <c r="A25" s="831"/>
      <c r="B25" s="217" t="s">
        <v>102</v>
      </c>
      <c r="C25" s="565">
        <v>4299</v>
      </c>
      <c r="D25" s="564">
        <v>10114</v>
      </c>
      <c r="E25" s="565">
        <v>4313</v>
      </c>
      <c r="F25" s="565">
        <f>SUM(G25:H25)</f>
        <v>10087</v>
      </c>
      <c r="G25" s="565">
        <v>4948</v>
      </c>
      <c r="H25" s="565">
        <v>5139</v>
      </c>
      <c r="I25" s="566">
        <f t="shared" si="1"/>
        <v>-27</v>
      </c>
      <c r="J25" s="567">
        <f t="shared" si="2"/>
        <v>88.221660529837237</v>
      </c>
    </row>
    <row r="26" spans="1:10" ht="14.1" customHeight="1">
      <c r="A26" s="831"/>
      <c r="B26" s="217" t="s">
        <v>103</v>
      </c>
      <c r="C26" s="565">
        <v>1778</v>
      </c>
      <c r="D26" s="564">
        <v>3213</v>
      </c>
      <c r="E26" s="565">
        <v>1734</v>
      </c>
      <c r="F26" s="565">
        <f>SUM(G26:H26)</f>
        <v>3186</v>
      </c>
      <c r="G26" s="565">
        <v>1618</v>
      </c>
      <c r="H26" s="565">
        <v>1568</v>
      </c>
      <c r="I26" s="566">
        <f t="shared" si="1"/>
        <v>-27</v>
      </c>
      <c r="J26" s="567">
        <f t="shared" si="2"/>
        <v>27.864995583232023</v>
      </c>
    </row>
    <row r="27" spans="1:10" ht="14.1" customHeight="1">
      <c r="A27" s="831"/>
      <c r="B27" s="219" t="s">
        <v>104</v>
      </c>
      <c r="C27" s="565">
        <v>1844</v>
      </c>
      <c r="D27" s="564">
        <v>4426</v>
      </c>
      <c r="E27" s="565">
        <v>1860</v>
      </c>
      <c r="F27" s="565">
        <f>SUM(G27:H27)</f>
        <v>4421</v>
      </c>
      <c r="G27" s="565">
        <v>2102</v>
      </c>
      <c r="H27" s="565">
        <v>2319</v>
      </c>
      <c r="I27" s="566">
        <f t="shared" si="1"/>
        <v>-5</v>
      </c>
      <c r="J27" s="567">
        <f t="shared" si="2"/>
        <v>38.666398453693901</v>
      </c>
    </row>
    <row r="28" spans="1:10" ht="14.1" customHeight="1">
      <c r="A28" s="831" t="s">
        <v>105</v>
      </c>
      <c r="B28" s="220" t="s">
        <v>88</v>
      </c>
      <c r="C28" s="561">
        <v>8306</v>
      </c>
      <c r="D28" s="561">
        <v>19555</v>
      </c>
      <c r="E28" s="742">
        <f t="shared" ref="E28:H28" si="5">SUM(E29:E32)</f>
        <v>8383</v>
      </c>
      <c r="F28" s="742">
        <f t="shared" si="5"/>
        <v>19451</v>
      </c>
      <c r="G28" s="742">
        <f t="shared" si="5"/>
        <v>9516</v>
      </c>
      <c r="H28" s="742">
        <f t="shared" si="5"/>
        <v>9935</v>
      </c>
      <c r="I28" s="562">
        <f t="shared" si="1"/>
        <v>-104</v>
      </c>
      <c r="J28" s="563">
        <f t="shared" si="2"/>
        <v>170.11990869097491</v>
      </c>
    </row>
    <row r="29" spans="1:10" ht="14.1" customHeight="1">
      <c r="A29" s="831"/>
      <c r="B29" s="217" t="s">
        <v>106</v>
      </c>
      <c r="C29" s="565">
        <v>449</v>
      </c>
      <c r="D29" s="564">
        <v>1096</v>
      </c>
      <c r="E29" s="565">
        <v>439</v>
      </c>
      <c r="F29" s="565">
        <f>SUM(G29:H29)</f>
        <v>1063</v>
      </c>
      <c r="G29" s="565">
        <v>527</v>
      </c>
      <c r="H29" s="565">
        <v>536</v>
      </c>
      <c r="I29" s="566">
        <f t="shared" si="1"/>
        <v>-33</v>
      </c>
      <c r="J29" s="567">
        <f t="shared" si="2"/>
        <v>9.2970779362760965</v>
      </c>
    </row>
    <row r="30" spans="1:10" ht="14.1" customHeight="1">
      <c r="A30" s="831"/>
      <c r="B30" s="217" t="s">
        <v>107</v>
      </c>
      <c r="C30" s="565">
        <v>1947</v>
      </c>
      <c r="D30" s="564">
        <v>4394</v>
      </c>
      <c r="E30" s="565">
        <v>1965</v>
      </c>
      <c r="F30" s="565">
        <f>SUM(G30:H30)</f>
        <v>4362</v>
      </c>
      <c r="G30" s="565">
        <v>2201</v>
      </c>
      <c r="H30" s="565">
        <v>2161</v>
      </c>
      <c r="I30" s="566">
        <f t="shared" si="1"/>
        <v>-32</v>
      </c>
      <c r="J30" s="567">
        <f t="shared" si="2"/>
        <v>38.150380016967382</v>
      </c>
    </row>
    <row r="31" spans="1:10" ht="14.1" customHeight="1">
      <c r="A31" s="831"/>
      <c r="B31" s="217" t="s">
        <v>108</v>
      </c>
      <c r="C31" s="565">
        <v>1829</v>
      </c>
      <c r="D31" s="564">
        <v>4292</v>
      </c>
      <c r="E31" s="565">
        <v>1883</v>
      </c>
      <c r="F31" s="565">
        <f>SUM(G31:H31)</f>
        <v>4372</v>
      </c>
      <c r="G31" s="565">
        <v>2124</v>
      </c>
      <c r="H31" s="565">
        <v>2248</v>
      </c>
      <c r="I31" s="566">
        <f t="shared" si="1"/>
        <v>80</v>
      </c>
      <c r="J31" s="567">
        <f t="shared" si="2"/>
        <v>38.237840768954932</v>
      </c>
    </row>
    <row r="32" spans="1:10" ht="14.1" customHeight="1">
      <c r="A32" s="831"/>
      <c r="B32" s="219" t="s">
        <v>109</v>
      </c>
      <c r="C32" s="565">
        <v>4081</v>
      </c>
      <c r="D32" s="564">
        <v>9773</v>
      </c>
      <c r="E32" s="565">
        <v>4096</v>
      </c>
      <c r="F32" s="565">
        <f>SUM(G32:H32)</f>
        <v>9654</v>
      </c>
      <c r="G32" s="565">
        <v>4664</v>
      </c>
      <c r="H32" s="565">
        <v>4990</v>
      </c>
      <c r="I32" s="566">
        <f t="shared" si="1"/>
        <v>-119</v>
      </c>
      <c r="J32" s="567">
        <f t="shared" si="2"/>
        <v>84.434609968776499</v>
      </c>
    </row>
    <row r="33" spans="1:10" ht="14.1" customHeight="1">
      <c r="A33" s="831" t="s">
        <v>470</v>
      </c>
      <c r="B33" s="220" t="s">
        <v>88</v>
      </c>
      <c r="C33" s="561">
        <v>3217</v>
      </c>
      <c r="D33" s="561">
        <v>7869</v>
      </c>
      <c r="E33" s="742">
        <f t="shared" ref="E33:H33" si="6">SUM(E34:E38)</f>
        <v>3272</v>
      </c>
      <c r="F33" s="742">
        <f t="shared" si="6"/>
        <v>7858</v>
      </c>
      <c r="G33" s="742">
        <f t="shared" si="6"/>
        <v>3848</v>
      </c>
      <c r="H33" s="742">
        <f t="shared" si="6"/>
        <v>4010</v>
      </c>
      <c r="I33" s="562">
        <f t="shared" si="1"/>
        <v>-11</v>
      </c>
      <c r="J33" s="563">
        <f t="shared" si="2"/>
        <v>68.726658911813317</v>
      </c>
    </row>
    <row r="34" spans="1:10" ht="14.1" customHeight="1">
      <c r="A34" s="831"/>
      <c r="B34" s="217" t="s">
        <v>110</v>
      </c>
      <c r="C34" s="565">
        <v>1131</v>
      </c>
      <c r="D34" s="564">
        <v>2834</v>
      </c>
      <c r="E34" s="565">
        <v>1159</v>
      </c>
      <c r="F34" s="565">
        <f>SUM(G34:H34)</f>
        <v>2827</v>
      </c>
      <c r="G34" s="565">
        <v>1392</v>
      </c>
      <c r="H34" s="565">
        <v>1435</v>
      </c>
      <c r="I34" s="566">
        <f t="shared" si="1"/>
        <v>-7</v>
      </c>
      <c r="J34" s="567">
        <f t="shared" si="2"/>
        <v>24.725154586879139</v>
      </c>
    </row>
    <row r="35" spans="1:10" ht="14.1" customHeight="1">
      <c r="A35" s="831"/>
      <c r="B35" s="217" t="s">
        <v>111</v>
      </c>
      <c r="C35" s="565">
        <v>391</v>
      </c>
      <c r="D35" s="564">
        <v>986</v>
      </c>
      <c r="E35" s="565">
        <v>404</v>
      </c>
      <c r="F35" s="565">
        <f>SUM(G35:H35)</f>
        <v>1009</v>
      </c>
      <c r="G35" s="565">
        <v>483</v>
      </c>
      <c r="H35" s="565">
        <v>526</v>
      </c>
      <c r="I35" s="566">
        <f t="shared" si="1"/>
        <v>23</v>
      </c>
      <c r="J35" s="567">
        <f t="shared" si="2"/>
        <v>8.8247898755433489</v>
      </c>
    </row>
    <row r="36" spans="1:10" ht="14.1" customHeight="1">
      <c r="A36" s="831"/>
      <c r="B36" s="217" t="s">
        <v>112</v>
      </c>
      <c r="C36" s="565">
        <v>652</v>
      </c>
      <c r="D36" s="564">
        <v>1545</v>
      </c>
      <c r="E36" s="565">
        <v>648</v>
      </c>
      <c r="F36" s="565">
        <f>SUM(G36:H36)</f>
        <v>1527</v>
      </c>
      <c r="G36" s="565">
        <v>764</v>
      </c>
      <c r="H36" s="565">
        <v>763</v>
      </c>
      <c r="I36" s="566">
        <f t="shared" si="1"/>
        <v>-18</v>
      </c>
      <c r="J36" s="567">
        <f t="shared" si="2"/>
        <v>13.355256828498209</v>
      </c>
    </row>
    <row r="37" spans="1:10" ht="14.1" customHeight="1">
      <c r="A37" s="831"/>
      <c r="B37" s="217" t="s">
        <v>113</v>
      </c>
      <c r="C37" s="565">
        <v>914</v>
      </c>
      <c r="D37" s="564">
        <v>2181</v>
      </c>
      <c r="E37" s="565">
        <v>930</v>
      </c>
      <c r="F37" s="565">
        <f>SUM(G37:H37)</f>
        <v>2165</v>
      </c>
      <c r="G37" s="565">
        <v>1041</v>
      </c>
      <c r="H37" s="565">
        <v>1124</v>
      </c>
      <c r="I37" s="566">
        <f t="shared" si="1"/>
        <v>-16</v>
      </c>
      <c r="J37" s="567">
        <f t="shared" si="2"/>
        <v>18.93525280530362</v>
      </c>
    </row>
    <row r="38" spans="1:10" ht="14.1" customHeight="1">
      <c r="A38" s="831"/>
      <c r="B38" s="219" t="s">
        <v>114</v>
      </c>
      <c r="C38" s="565">
        <v>129</v>
      </c>
      <c r="D38" s="564">
        <v>323</v>
      </c>
      <c r="E38" s="565">
        <v>131</v>
      </c>
      <c r="F38" s="565">
        <f>SUM(G38:H38)</f>
        <v>330</v>
      </c>
      <c r="G38" s="565">
        <v>168</v>
      </c>
      <c r="H38" s="565">
        <v>162</v>
      </c>
      <c r="I38" s="566">
        <f>F38-D38</f>
        <v>7</v>
      </c>
      <c r="J38" s="567">
        <f t="shared" si="2"/>
        <v>2.8862048155890041</v>
      </c>
    </row>
    <row r="39" spans="1:10" ht="14.1" customHeight="1">
      <c r="A39" s="831" t="s">
        <v>471</v>
      </c>
      <c r="B39" s="220" t="s">
        <v>88</v>
      </c>
      <c r="C39" s="561">
        <v>6434</v>
      </c>
      <c r="D39" s="561">
        <v>16304</v>
      </c>
      <c r="E39" s="742">
        <f t="shared" ref="E39:H39" si="7">SUM(E40:E46)</f>
        <v>6702</v>
      </c>
      <c r="F39" s="742">
        <f t="shared" si="7"/>
        <v>16713</v>
      </c>
      <c r="G39" s="742">
        <f t="shared" si="7"/>
        <v>8197</v>
      </c>
      <c r="H39" s="742">
        <f t="shared" si="7"/>
        <v>8516</v>
      </c>
      <c r="I39" s="562">
        <f t="shared" ref="I39:I55" si="8">F39-D39</f>
        <v>409</v>
      </c>
      <c r="J39" s="563">
        <f t="shared" si="2"/>
        <v>146.17315479678493</v>
      </c>
    </row>
    <row r="40" spans="1:10" ht="14.1" customHeight="1">
      <c r="A40" s="831"/>
      <c r="B40" s="217" t="s">
        <v>115</v>
      </c>
      <c r="C40" s="565">
        <v>1996</v>
      </c>
      <c r="D40" s="564">
        <v>5046</v>
      </c>
      <c r="E40" s="565">
        <v>2083</v>
      </c>
      <c r="F40" s="565">
        <f t="shared" ref="F40:F46" si="9">SUM(G40:H40)</f>
        <v>5132</v>
      </c>
      <c r="G40" s="565">
        <v>2535</v>
      </c>
      <c r="H40" s="565">
        <v>2597</v>
      </c>
      <c r="I40" s="566">
        <f t="shared" si="8"/>
        <v>86</v>
      </c>
      <c r="J40" s="567">
        <f t="shared" si="2"/>
        <v>44.884857920008386</v>
      </c>
    </row>
    <row r="41" spans="1:10" ht="14.1" customHeight="1">
      <c r="A41" s="831"/>
      <c r="B41" s="217" t="s">
        <v>116</v>
      </c>
      <c r="C41" s="565">
        <v>773</v>
      </c>
      <c r="D41" s="564">
        <v>1833</v>
      </c>
      <c r="E41" s="565">
        <v>805</v>
      </c>
      <c r="F41" s="565">
        <f t="shared" si="9"/>
        <v>1874</v>
      </c>
      <c r="G41" s="565">
        <v>921</v>
      </c>
      <c r="H41" s="565">
        <v>953</v>
      </c>
      <c r="I41" s="566">
        <f t="shared" si="8"/>
        <v>41</v>
      </c>
      <c r="J41" s="567">
        <f t="shared" si="2"/>
        <v>16.390144922466042</v>
      </c>
    </row>
    <row r="42" spans="1:10" ht="14.1" customHeight="1">
      <c r="A42" s="831"/>
      <c r="B42" s="218" t="s">
        <v>117</v>
      </c>
      <c r="C42" s="565">
        <v>107</v>
      </c>
      <c r="D42" s="564">
        <v>256</v>
      </c>
      <c r="E42" s="565">
        <v>106</v>
      </c>
      <c r="F42" s="565">
        <f t="shared" si="9"/>
        <v>252</v>
      </c>
      <c r="G42" s="565">
        <v>130</v>
      </c>
      <c r="H42" s="565">
        <v>122</v>
      </c>
      <c r="I42" s="566">
        <f t="shared" si="8"/>
        <v>-4</v>
      </c>
      <c r="J42" s="567">
        <f t="shared" si="2"/>
        <v>2.2040109500861487</v>
      </c>
    </row>
    <row r="43" spans="1:10" ht="14.1" customHeight="1">
      <c r="A43" s="831"/>
      <c r="B43" s="217" t="s">
        <v>118</v>
      </c>
      <c r="C43" s="565">
        <v>1754</v>
      </c>
      <c r="D43" s="564">
        <v>4337</v>
      </c>
      <c r="E43" s="565">
        <v>1825</v>
      </c>
      <c r="F43" s="565">
        <f t="shared" si="9"/>
        <v>4478</v>
      </c>
      <c r="G43" s="565">
        <v>2179</v>
      </c>
      <c r="H43" s="565">
        <v>2299</v>
      </c>
      <c r="I43" s="566">
        <f t="shared" si="8"/>
        <v>141</v>
      </c>
      <c r="J43" s="567">
        <f t="shared" si="2"/>
        <v>39.164924740022911</v>
      </c>
    </row>
    <row r="44" spans="1:10" ht="14.1" customHeight="1">
      <c r="A44" s="831"/>
      <c r="B44" s="217" t="s">
        <v>119</v>
      </c>
      <c r="C44" s="565">
        <v>1576</v>
      </c>
      <c r="D44" s="564">
        <v>4219</v>
      </c>
      <c r="E44" s="565">
        <v>1654</v>
      </c>
      <c r="F44" s="565">
        <f t="shared" si="9"/>
        <v>4369</v>
      </c>
      <c r="G44" s="565">
        <v>2155</v>
      </c>
      <c r="H44" s="565">
        <v>2214</v>
      </c>
      <c r="I44" s="566">
        <f t="shared" si="8"/>
        <v>150</v>
      </c>
      <c r="J44" s="567">
        <f t="shared" si="2"/>
        <v>38.211602543358666</v>
      </c>
    </row>
    <row r="45" spans="1:10" ht="14.1" customHeight="1">
      <c r="A45" s="831"/>
      <c r="B45" s="221" t="s">
        <v>120</v>
      </c>
      <c r="C45" s="565">
        <v>104</v>
      </c>
      <c r="D45" s="564">
        <v>300</v>
      </c>
      <c r="E45" s="565">
        <v>103</v>
      </c>
      <c r="F45" s="565">
        <f t="shared" si="9"/>
        <v>295</v>
      </c>
      <c r="G45" s="565">
        <v>138</v>
      </c>
      <c r="H45" s="565">
        <v>157</v>
      </c>
      <c r="I45" s="566">
        <f t="shared" si="8"/>
        <v>-5</v>
      </c>
      <c r="J45" s="567">
        <f t="shared" si="2"/>
        <v>2.5800921836325945</v>
      </c>
    </row>
    <row r="46" spans="1:10" ht="14.1" customHeight="1">
      <c r="A46" s="831"/>
      <c r="B46" s="219" t="s">
        <v>121</v>
      </c>
      <c r="C46" s="565">
        <v>124</v>
      </c>
      <c r="D46" s="564">
        <v>313</v>
      </c>
      <c r="E46" s="565">
        <v>126</v>
      </c>
      <c r="F46" s="565">
        <f t="shared" si="9"/>
        <v>313</v>
      </c>
      <c r="G46" s="565">
        <v>139</v>
      </c>
      <c r="H46" s="565">
        <v>174</v>
      </c>
      <c r="I46" s="566">
        <f t="shared" si="8"/>
        <v>0</v>
      </c>
      <c r="J46" s="567">
        <f t="shared" si="2"/>
        <v>2.7375215372101769</v>
      </c>
    </row>
    <row r="47" spans="1:10" ht="14.1" customHeight="1">
      <c r="A47" s="831" t="s">
        <v>472</v>
      </c>
      <c r="B47" s="220" t="s">
        <v>88</v>
      </c>
      <c r="C47" s="561">
        <v>5525</v>
      </c>
      <c r="D47" s="561">
        <v>14048</v>
      </c>
      <c r="E47" s="742">
        <f>SUM(E48:E54)</f>
        <v>5563</v>
      </c>
      <c r="F47" s="742">
        <f t="shared" ref="F47:H47" si="10">SUM(F48:F54)</f>
        <v>13959</v>
      </c>
      <c r="G47" s="742">
        <f t="shared" si="10"/>
        <v>6996</v>
      </c>
      <c r="H47" s="742">
        <f t="shared" si="10"/>
        <v>6963</v>
      </c>
      <c r="I47" s="562">
        <f t="shared" si="8"/>
        <v>-89</v>
      </c>
      <c r="J47" s="563">
        <f t="shared" si="2"/>
        <v>122.08646369941489</v>
      </c>
    </row>
    <row r="48" spans="1:10" ht="14.1" customHeight="1">
      <c r="A48" s="831"/>
      <c r="B48" s="217" t="s">
        <v>122</v>
      </c>
      <c r="C48" s="565">
        <v>920</v>
      </c>
      <c r="D48" s="564">
        <v>2280</v>
      </c>
      <c r="E48" s="565">
        <v>930</v>
      </c>
      <c r="F48" s="565">
        <f>SUM(G48:H48)</f>
        <v>2266</v>
      </c>
      <c r="G48" s="565">
        <v>1126</v>
      </c>
      <c r="H48" s="565">
        <v>1140</v>
      </c>
      <c r="I48" s="566">
        <f t="shared" si="8"/>
        <v>-14</v>
      </c>
      <c r="J48" s="567">
        <f t="shared" si="2"/>
        <v>19.818606400377831</v>
      </c>
    </row>
    <row r="49" spans="1:10" ht="14.1" customHeight="1">
      <c r="A49" s="831"/>
      <c r="B49" s="217" t="s">
        <v>123</v>
      </c>
      <c r="C49" s="565">
        <v>1241</v>
      </c>
      <c r="D49" s="564">
        <v>2958</v>
      </c>
      <c r="E49" s="565">
        <v>1261</v>
      </c>
      <c r="F49" s="565">
        <f t="shared" ref="F49:F55" si="11">SUM(G49:H49)</f>
        <v>2953</v>
      </c>
      <c r="G49" s="565">
        <v>1509</v>
      </c>
      <c r="H49" s="565">
        <v>1444</v>
      </c>
      <c r="I49" s="566">
        <f t="shared" si="8"/>
        <v>-5</v>
      </c>
      <c r="J49" s="567">
        <f t="shared" si="2"/>
        <v>25.827160061922211</v>
      </c>
    </row>
    <row r="50" spans="1:10" ht="14.1" customHeight="1">
      <c r="A50" s="831"/>
      <c r="B50" s="217" t="s">
        <v>124</v>
      </c>
      <c r="C50" s="565">
        <v>677</v>
      </c>
      <c r="D50" s="564">
        <v>1804</v>
      </c>
      <c r="E50" s="565">
        <v>669</v>
      </c>
      <c r="F50" s="565">
        <f t="shared" si="11"/>
        <v>1738</v>
      </c>
      <c r="G50" s="565">
        <v>852</v>
      </c>
      <c r="H50" s="565">
        <v>886</v>
      </c>
      <c r="I50" s="566">
        <f t="shared" si="8"/>
        <v>-66</v>
      </c>
      <c r="J50" s="567">
        <f>100/$F$6*F50*10</f>
        <v>15.200678695435423</v>
      </c>
    </row>
    <row r="51" spans="1:10" ht="14.1" customHeight="1">
      <c r="A51" s="831"/>
      <c r="B51" s="217" t="s">
        <v>125</v>
      </c>
      <c r="C51" s="565">
        <v>410</v>
      </c>
      <c r="D51" s="564">
        <v>827</v>
      </c>
      <c r="E51" s="565">
        <v>396</v>
      </c>
      <c r="F51" s="565">
        <f t="shared" si="11"/>
        <v>802</v>
      </c>
      <c r="G51" s="565">
        <v>420</v>
      </c>
      <c r="H51" s="565">
        <v>382</v>
      </c>
      <c r="I51" s="566">
        <f t="shared" si="8"/>
        <v>-25</v>
      </c>
      <c r="J51" s="567">
        <f t="shared" si="2"/>
        <v>7.0143523094011559</v>
      </c>
    </row>
    <row r="52" spans="1:10" ht="14.1" customHeight="1">
      <c r="A52" s="831"/>
      <c r="B52" s="217" t="s">
        <v>126</v>
      </c>
      <c r="C52" s="565">
        <v>1027</v>
      </c>
      <c r="D52" s="564">
        <v>2906</v>
      </c>
      <c r="E52" s="565">
        <v>1040</v>
      </c>
      <c r="F52" s="565">
        <f t="shared" si="11"/>
        <v>2919</v>
      </c>
      <c r="G52" s="565">
        <v>1476</v>
      </c>
      <c r="H52" s="565">
        <v>1443</v>
      </c>
      <c r="I52" s="566">
        <f t="shared" si="8"/>
        <v>13</v>
      </c>
      <c r="J52" s="567">
        <f t="shared" si="2"/>
        <v>25.529793505164555</v>
      </c>
    </row>
    <row r="53" spans="1:10" ht="14.1" customHeight="1">
      <c r="A53" s="831"/>
      <c r="B53" s="217" t="s">
        <v>127</v>
      </c>
      <c r="C53" s="565">
        <v>667</v>
      </c>
      <c r="D53" s="564">
        <v>1832</v>
      </c>
      <c r="E53" s="565">
        <v>674</v>
      </c>
      <c r="F53" s="565">
        <f t="shared" si="11"/>
        <v>1851</v>
      </c>
      <c r="G53" s="565">
        <v>909</v>
      </c>
      <c r="H53" s="565">
        <v>942</v>
      </c>
      <c r="I53" s="566">
        <f t="shared" si="8"/>
        <v>19</v>
      </c>
      <c r="J53" s="567">
        <f t="shared" si="2"/>
        <v>16.188985192894688</v>
      </c>
    </row>
    <row r="54" spans="1:10" ht="14.1" customHeight="1">
      <c r="A54" s="831"/>
      <c r="B54" s="219" t="s">
        <v>128</v>
      </c>
      <c r="C54" s="565">
        <v>583</v>
      </c>
      <c r="D54" s="564">
        <v>1441</v>
      </c>
      <c r="E54" s="565">
        <v>593</v>
      </c>
      <c r="F54" s="565">
        <f t="shared" si="11"/>
        <v>1430</v>
      </c>
      <c r="G54" s="565">
        <v>704</v>
      </c>
      <c r="H54" s="565">
        <v>726</v>
      </c>
      <c r="I54" s="566">
        <f t="shared" si="8"/>
        <v>-11</v>
      </c>
      <c r="J54" s="567">
        <f t="shared" si="2"/>
        <v>12.506887534219018</v>
      </c>
    </row>
    <row r="55" spans="1:10" ht="14.1" customHeight="1" thickBot="1">
      <c r="A55" s="215" t="s">
        <v>129</v>
      </c>
      <c r="B55" s="222" t="s">
        <v>130</v>
      </c>
      <c r="C55" s="569">
        <v>56</v>
      </c>
      <c r="D55" s="568">
        <v>121</v>
      </c>
      <c r="E55" s="569">
        <v>47</v>
      </c>
      <c r="F55" s="569">
        <f t="shared" si="11"/>
        <v>99</v>
      </c>
      <c r="G55" s="569">
        <v>35</v>
      </c>
      <c r="H55" s="569">
        <v>64</v>
      </c>
      <c r="I55" s="570">
        <f t="shared" si="8"/>
        <v>-22</v>
      </c>
      <c r="J55" s="563">
        <f t="shared" si="2"/>
        <v>0.86586144467670123</v>
      </c>
    </row>
    <row r="56" spans="1:10" ht="14.1" customHeight="1">
      <c r="A56" s="556" t="s">
        <v>620</v>
      </c>
      <c r="B56" s="410"/>
      <c r="C56" s="410"/>
      <c r="D56" s="410"/>
      <c r="E56" s="410"/>
      <c r="F56" s="410"/>
      <c r="G56" s="410"/>
      <c r="H56" s="410"/>
      <c r="I56" s="689"/>
      <c r="J56" s="689" t="s">
        <v>710</v>
      </c>
    </row>
    <row r="57" spans="1:10" ht="14.1" customHeight="1">
      <c r="A57" s="556" t="s">
        <v>621</v>
      </c>
      <c r="B57" s="410"/>
      <c r="C57" s="410"/>
      <c r="D57" s="410"/>
      <c r="E57" s="410"/>
      <c r="F57" s="410"/>
      <c r="G57" s="410"/>
      <c r="H57" s="410"/>
      <c r="I57" s="410"/>
      <c r="J57" s="410"/>
    </row>
    <row r="58" spans="1:10" ht="14.1" customHeight="1">
      <c r="A58" s="556" t="s">
        <v>712</v>
      </c>
      <c r="B58" s="410"/>
      <c r="C58" s="410"/>
      <c r="D58" s="410"/>
      <c r="E58" s="410"/>
      <c r="F58" s="410"/>
      <c r="G58" s="410"/>
      <c r="H58" s="410"/>
      <c r="I58" s="410"/>
      <c r="J58" s="410"/>
    </row>
  </sheetData>
  <sheetProtection selectLockedCells="1" selectUnlockedCells="1"/>
  <mergeCells count="13">
    <mergeCell ref="D3:D4"/>
    <mergeCell ref="E3:E4"/>
    <mergeCell ref="F3:H4"/>
    <mergeCell ref="A47:A54"/>
    <mergeCell ref="A3:B5"/>
    <mergeCell ref="C3:C4"/>
    <mergeCell ref="A6:B6"/>
    <mergeCell ref="A7:A13"/>
    <mergeCell ref="A22:A27"/>
    <mergeCell ref="A28:A32"/>
    <mergeCell ref="A33:A38"/>
    <mergeCell ref="A39:A46"/>
    <mergeCell ref="A14:A21"/>
  </mergeCells>
  <phoneticPr fontId="19"/>
  <printOptions horizontalCentered="1"/>
  <pageMargins left="0.59055118110236227" right="0.59055118110236227" top="0.59055118110236227" bottom="0.59055118110236227" header="0.39370078740157483" footer="0.39370078740157483"/>
  <pageSetup paperSize="9" scale="99" firstPageNumber="0" orientation="portrait" r:id="rId1"/>
  <headerFooter scaleWithDoc="0" alignWithMargins="0">
    <oddHeader>&amp;L&amp;"ＭＳ 明朝,標準"&amp;10人　口</oddHeader>
    <oddFooter>&amp;C&amp;"ＭＳ 明朝,標準"&amp;12&amp;A</oddFooter>
  </headerFooter>
  <ignoredErrors>
    <ignoredError sqref="F7"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4"/>
  <sheetViews>
    <sheetView view="pageBreakPreview" zoomScale="90" zoomScaleNormal="120" zoomScaleSheetLayoutView="90" workbookViewId="0">
      <pane ySplit="5" topLeftCell="A6" activePane="bottomLeft" state="frozen"/>
      <selection activeCell="E5" sqref="E5"/>
      <selection pane="bottomLeft" activeCell="O11" sqref="O11"/>
    </sheetView>
  </sheetViews>
  <sheetFormatPr defaultRowHeight="23.1" customHeight="1"/>
  <cols>
    <col min="1" max="1" width="12.125" style="121" customWidth="1"/>
    <col min="2" max="4" width="11.375" style="121" customWidth="1"/>
    <col min="5" max="5" width="11.375" style="15" customWidth="1"/>
    <col min="6" max="6" width="11.625" style="433" customWidth="1"/>
    <col min="7" max="7" width="11.375" style="434" customWidth="1"/>
    <col min="8" max="8" width="11.375" style="435" customWidth="1"/>
    <col min="9" max="16384" width="9" style="12"/>
  </cols>
  <sheetData>
    <row r="1" spans="1:12" s="15" customFormat="1" ht="5.0999999999999996" customHeight="1">
      <c r="A1" s="14"/>
      <c r="F1" s="413"/>
      <c r="G1" s="841"/>
      <c r="H1" s="841"/>
    </row>
    <row r="2" spans="1:12" s="15" customFormat="1" ht="15" customHeight="1" thickBot="1">
      <c r="A2" s="14" t="s">
        <v>131</v>
      </c>
      <c r="F2" s="413"/>
      <c r="G2" s="841" t="s">
        <v>16</v>
      </c>
      <c r="H2" s="841"/>
    </row>
    <row r="3" spans="1:12" ht="13.5" customHeight="1">
      <c r="A3" s="842" t="s">
        <v>132</v>
      </c>
      <c r="B3" s="844" t="s">
        <v>133</v>
      </c>
      <c r="C3" s="829" t="s">
        <v>18</v>
      </c>
      <c r="D3" s="846" t="s">
        <v>134</v>
      </c>
      <c r="E3" s="846"/>
      <c r="F3" s="848" t="s">
        <v>135</v>
      </c>
      <c r="G3" s="850" t="s">
        <v>136</v>
      </c>
      <c r="H3" s="852" t="s">
        <v>137</v>
      </c>
      <c r="I3" s="199"/>
    </row>
    <row r="4" spans="1:12" ht="13.5" customHeight="1">
      <c r="A4" s="843"/>
      <c r="B4" s="845"/>
      <c r="C4" s="830"/>
      <c r="D4" s="847"/>
      <c r="E4" s="847"/>
      <c r="F4" s="849"/>
      <c r="G4" s="851"/>
      <c r="H4" s="853"/>
      <c r="I4" s="199"/>
    </row>
    <row r="5" spans="1:12" ht="27" customHeight="1">
      <c r="A5" s="843"/>
      <c r="B5" s="845"/>
      <c r="C5" s="591" t="s">
        <v>635</v>
      </c>
      <c r="D5" s="591" t="s">
        <v>634</v>
      </c>
      <c r="E5" s="591" t="s">
        <v>635</v>
      </c>
      <c r="F5" s="849"/>
      <c r="G5" s="851"/>
      <c r="H5" s="414" t="s">
        <v>635</v>
      </c>
      <c r="I5" s="199"/>
    </row>
    <row r="6" spans="1:12" ht="30" customHeight="1">
      <c r="A6" s="415" t="s">
        <v>138</v>
      </c>
      <c r="B6" s="416">
        <v>19.48</v>
      </c>
      <c r="C6" s="30">
        <f>SUM(C8:C28)</f>
        <v>48216</v>
      </c>
      <c r="D6" s="30">
        <f>SUM(D8:D28)</f>
        <v>114165</v>
      </c>
      <c r="E6" s="417">
        <f>SUM(E8:E28)</f>
        <v>114337</v>
      </c>
      <c r="F6" s="418">
        <f>+E6-D6</f>
        <v>172</v>
      </c>
      <c r="G6" s="419">
        <f>ROUND(F6/D6,5)*100</f>
        <v>0.151</v>
      </c>
      <c r="H6" s="225">
        <f>E6/B6</f>
        <v>5869.4558521560575</v>
      </c>
      <c r="I6" s="1098">
        <f>(+E6/D6)-1</f>
        <v>1.5065913370997386E-3</v>
      </c>
      <c r="J6" s="1099"/>
      <c r="K6" s="1100">
        <f>SUM(K8:K27)</f>
        <v>19.299999999999997</v>
      </c>
      <c r="L6" s="1100">
        <f>SUM(L8:L27)</f>
        <v>19.480000000000004</v>
      </c>
    </row>
    <row r="7" spans="1:12" ht="24" customHeight="1">
      <c r="A7" s="420"/>
      <c r="B7" s="31"/>
      <c r="C7" s="3"/>
      <c r="D7" s="32"/>
      <c r="E7" s="32"/>
      <c r="F7" s="33"/>
      <c r="G7" s="282"/>
      <c r="H7" s="225"/>
      <c r="I7" s="1101"/>
      <c r="J7" s="1099"/>
      <c r="K7" s="1100"/>
      <c r="L7" s="1100"/>
    </row>
    <row r="8" spans="1:12" ht="24" customHeight="1">
      <c r="A8" s="227" t="s">
        <v>139</v>
      </c>
      <c r="B8" s="209">
        <f>0.98+0.01</f>
        <v>0.99</v>
      </c>
      <c r="C8" s="702">
        <v>1642</v>
      </c>
      <c r="D8" s="702">
        <v>4060</v>
      </c>
      <c r="E8" s="702">
        <v>4086</v>
      </c>
      <c r="F8" s="421">
        <f>+E8-D8</f>
        <v>26</v>
      </c>
      <c r="G8" s="282">
        <f>ROUND(F8/D8,5)*100</f>
        <v>0.64</v>
      </c>
      <c r="H8" s="422">
        <f>E8/B8</f>
        <v>4127.272727272727</v>
      </c>
      <c r="I8" s="1098">
        <f t="shared" ref="I8:I28" si="0">(+E8/D8)-1</f>
        <v>6.4039408866995995E-3</v>
      </c>
      <c r="J8" s="1099"/>
      <c r="K8" s="1100">
        <v>0.98</v>
      </c>
      <c r="L8" s="1100">
        <f>K8/$K$6*19.48</f>
        <v>0.9891398963730571</v>
      </c>
    </row>
    <row r="9" spans="1:12" ht="24" customHeight="1">
      <c r="A9" s="227" t="s">
        <v>140</v>
      </c>
      <c r="B9" s="209">
        <f>0.55+0.01</f>
        <v>0.56000000000000005</v>
      </c>
      <c r="C9" s="702">
        <v>1968</v>
      </c>
      <c r="D9" s="702">
        <v>4616</v>
      </c>
      <c r="E9" s="702">
        <v>4594</v>
      </c>
      <c r="F9" s="421">
        <f t="shared" ref="F9:F16" si="1">+E9-D9</f>
        <v>-22</v>
      </c>
      <c r="G9" s="282">
        <f>ROUND(F9/D9,5)*100</f>
        <v>-0.47699999999999998</v>
      </c>
      <c r="H9" s="422">
        <f t="shared" ref="H9:H27" si="2">E9/B9</f>
        <v>8203.5714285714275</v>
      </c>
      <c r="I9" s="1098">
        <f>(+E9/D9)-1</f>
        <v>-4.7660311958405144E-3</v>
      </c>
      <c r="J9" s="1099"/>
      <c r="K9" s="1100">
        <v>0.55000000000000004</v>
      </c>
      <c r="L9" s="1100">
        <f>K9/$K$6*19.48</f>
        <v>0.55512953367875661</v>
      </c>
    </row>
    <row r="10" spans="1:12" ht="24" customHeight="1">
      <c r="A10" s="227" t="s">
        <v>141</v>
      </c>
      <c r="B10" s="209">
        <f>0.84+0.01</f>
        <v>0.85</v>
      </c>
      <c r="C10" s="702">
        <v>3498</v>
      </c>
      <c r="D10" s="702">
        <v>8649</v>
      </c>
      <c r="E10" s="702">
        <v>8584</v>
      </c>
      <c r="F10" s="421">
        <f t="shared" si="1"/>
        <v>-65</v>
      </c>
      <c r="G10" s="282">
        <f t="shared" ref="G10:G28" si="3">ROUND(F10/D10,5)*100</f>
        <v>-0.752</v>
      </c>
      <c r="H10" s="422">
        <f>E10/B10</f>
        <v>10098.823529411766</v>
      </c>
      <c r="I10" s="1098">
        <f t="shared" si="0"/>
        <v>-7.515319690137634E-3</v>
      </c>
      <c r="J10" s="1099"/>
      <c r="K10" s="1100">
        <v>0.84</v>
      </c>
      <c r="L10" s="1100">
        <f t="shared" ref="L10:L27" si="4">K10/$K$6*19.48</f>
        <v>0.84783419689119188</v>
      </c>
    </row>
    <row r="11" spans="1:12" ht="24" customHeight="1">
      <c r="A11" s="227" t="s">
        <v>142</v>
      </c>
      <c r="B11" s="209">
        <f>1.8+0.02</f>
        <v>1.82</v>
      </c>
      <c r="C11" s="702">
        <v>3556</v>
      </c>
      <c r="D11" s="702">
        <v>8192</v>
      </c>
      <c r="E11" s="702">
        <v>8276</v>
      </c>
      <c r="F11" s="421">
        <f t="shared" si="1"/>
        <v>84</v>
      </c>
      <c r="G11" s="282">
        <f t="shared" si="3"/>
        <v>1.0250000000000001</v>
      </c>
      <c r="H11" s="422">
        <f t="shared" si="2"/>
        <v>4547.2527472527472</v>
      </c>
      <c r="I11" s="1098">
        <f t="shared" si="0"/>
        <v>1.025390625E-2</v>
      </c>
      <c r="J11" s="1099"/>
      <c r="K11" s="1100">
        <v>1.8</v>
      </c>
      <c r="L11" s="1100">
        <f t="shared" si="4"/>
        <v>1.8167875647668397</v>
      </c>
    </row>
    <row r="12" spans="1:12" ht="24" customHeight="1">
      <c r="A12" s="227" t="s">
        <v>143</v>
      </c>
      <c r="B12" s="209">
        <f>1.04+0.01</f>
        <v>1.05</v>
      </c>
      <c r="C12" s="702">
        <v>2928</v>
      </c>
      <c r="D12" s="702">
        <v>6929</v>
      </c>
      <c r="E12" s="702">
        <v>7181</v>
      </c>
      <c r="F12" s="421">
        <f t="shared" si="1"/>
        <v>252</v>
      </c>
      <c r="G12" s="282">
        <f t="shared" si="3"/>
        <v>3.637</v>
      </c>
      <c r="H12" s="422">
        <f t="shared" si="2"/>
        <v>6839.0476190476184</v>
      </c>
      <c r="I12" s="1098">
        <f t="shared" si="0"/>
        <v>3.6368884398903178E-2</v>
      </c>
      <c r="J12" s="1099"/>
      <c r="K12" s="1100">
        <v>1.04</v>
      </c>
      <c r="L12" s="1100">
        <f t="shared" si="4"/>
        <v>1.0496994818652852</v>
      </c>
    </row>
    <row r="13" spans="1:12" ht="24" customHeight="1">
      <c r="A13" s="227" t="s">
        <v>144</v>
      </c>
      <c r="B13" s="209">
        <f>2.11+0.02</f>
        <v>2.13</v>
      </c>
      <c r="C13" s="702">
        <v>4256</v>
      </c>
      <c r="D13" s="702">
        <v>10228</v>
      </c>
      <c r="E13" s="702">
        <v>10050</v>
      </c>
      <c r="F13" s="421">
        <f t="shared" si="1"/>
        <v>-178</v>
      </c>
      <c r="G13" s="282">
        <f>ROUND(F13/D13,5)*100</f>
        <v>-1.7399999999999998</v>
      </c>
      <c r="H13" s="422">
        <f t="shared" si="2"/>
        <v>4718.3098591549297</v>
      </c>
      <c r="I13" s="1098">
        <f t="shared" si="0"/>
        <v>-1.7403206883066069E-2</v>
      </c>
      <c r="J13" s="1099"/>
      <c r="K13" s="1100">
        <v>2.11</v>
      </c>
      <c r="L13" s="1100">
        <f t="shared" si="4"/>
        <v>2.1296787564766841</v>
      </c>
    </row>
    <row r="14" spans="1:12" ht="24" customHeight="1">
      <c r="A14" s="227" t="s">
        <v>145</v>
      </c>
      <c r="B14" s="209">
        <f>0.88+0.01</f>
        <v>0.89</v>
      </c>
      <c r="C14" s="702">
        <v>2087</v>
      </c>
      <c r="D14" s="702">
        <v>4488</v>
      </c>
      <c r="E14" s="702">
        <v>4458</v>
      </c>
      <c r="F14" s="421">
        <f t="shared" si="1"/>
        <v>-30</v>
      </c>
      <c r="G14" s="282">
        <f t="shared" si="3"/>
        <v>-0.66800000000000004</v>
      </c>
      <c r="H14" s="422">
        <f t="shared" si="2"/>
        <v>5008.9887640449433</v>
      </c>
      <c r="I14" s="1098">
        <f t="shared" si="0"/>
        <v>-6.6844919786096524E-3</v>
      </c>
      <c r="J14" s="1099"/>
      <c r="K14" s="1100">
        <v>0.88</v>
      </c>
      <c r="L14" s="1100">
        <f t="shared" si="4"/>
        <v>0.88820725388601052</v>
      </c>
    </row>
    <row r="15" spans="1:12" ht="24" customHeight="1">
      <c r="A15" s="227" t="s">
        <v>146</v>
      </c>
      <c r="B15" s="209">
        <f>1.22+0.01</f>
        <v>1.23</v>
      </c>
      <c r="C15" s="702">
        <v>5150</v>
      </c>
      <c r="D15" s="702">
        <v>12145</v>
      </c>
      <c r="E15" s="702">
        <v>12059</v>
      </c>
      <c r="F15" s="421">
        <f t="shared" si="1"/>
        <v>-86</v>
      </c>
      <c r="G15" s="282">
        <f t="shared" si="3"/>
        <v>-0.70800000000000007</v>
      </c>
      <c r="H15" s="422">
        <f t="shared" si="2"/>
        <v>9804.0650406504064</v>
      </c>
      <c r="I15" s="1098">
        <f t="shared" si="0"/>
        <v>-7.0811033347056851E-3</v>
      </c>
      <c r="J15" s="1099"/>
      <c r="K15" s="1100">
        <v>1.22</v>
      </c>
      <c r="L15" s="1100">
        <f t="shared" si="4"/>
        <v>1.2313782383419691</v>
      </c>
    </row>
    <row r="16" spans="1:12" ht="24" customHeight="1">
      <c r="A16" s="227" t="s">
        <v>147</v>
      </c>
      <c r="B16" s="209">
        <f>0.67+0.01</f>
        <v>0.68</v>
      </c>
      <c r="C16" s="702">
        <v>2221</v>
      </c>
      <c r="D16" s="702">
        <v>4376</v>
      </c>
      <c r="E16" s="702">
        <v>4320</v>
      </c>
      <c r="F16" s="421">
        <f t="shared" si="1"/>
        <v>-56</v>
      </c>
      <c r="G16" s="282">
        <f t="shared" si="3"/>
        <v>-1.28</v>
      </c>
      <c r="H16" s="422">
        <f t="shared" si="2"/>
        <v>6352.9411764705874</v>
      </c>
      <c r="I16" s="1098">
        <f t="shared" si="0"/>
        <v>-1.2797074954296161E-2</v>
      </c>
      <c r="J16" s="1099"/>
      <c r="K16" s="1100">
        <v>0.67</v>
      </c>
      <c r="L16" s="1100">
        <f t="shared" si="4"/>
        <v>0.67624870466321263</v>
      </c>
    </row>
    <row r="17" spans="1:12" ht="24" customHeight="1">
      <c r="A17" s="227" t="s">
        <v>148</v>
      </c>
      <c r="B17" s="209">
        <v>0.33</v>
      </c>
      <c r="C17" s="423">
        <v>0</v>
      </c>
      <c r="D17" s="423">
        <v>0</v>
      </c>
      <c r="E17" s="423">
        <v>0</v>
      </c>
      <c r="F17" s="34" t="s">
        <v>149</v>
      </c>
      <c r="G17" s="282">
        <v>0</v>
      </c>
      <c r="H17" s="424">
        <f t="shared" si="2"/>
        <v>0</v>
      </c>
      <c r="I17" s="1098" t="e">
        <f t="shared" si="0"/>
        <v>#DIV/0!</v>
      </c>
      <c r="J17" s="1099"/>
      <c r="K17" s="1100">
        <v>0.33</v>
      </c>
      <c r="L17" s="1100">
        <f t="shared" si="4"/>
        <v>0.33307772020725396</v>
      </c>
    </row>
    <row r="18" spans="1:12" ht="24" customHeight="1">
      <c r="A18" s="227" t="s">
        <v>150</v>
      </c>
      <c r="B18" s="209">
        <f>0.85+0.01</f>
        <v>0.86</v>
      </c>
      <c r="C18" s="702">
        <v>1981</v>
      </c>
      <c r="D18" s="702">
        <v>4453</v>
      </c>
      <c r="E18" s="702">
        <v>4416</v>
      </c>
      <c r="F18" s="421">
        <f t="shared" ref="F18:F25" si="5">+E18-D18</f>
        <v>-37</v>
      </c>
      <c r="G18" s="282">
        <f t="shared" si="3"/>
        <v>-0.83099999999999996</v>
      </c>
      <c r="H18" s="422">
        <f t="shared" si="2"/>
        <v>5134.8837209302328</v>
      </c>
      <c r="I18" s="1098">
        <f t="shared" si="0"/>
        <v>-8.3090051650572816E-3</v>
      </c>
      <c r="J18" s="1099"/>
      <c r="K18" s="1100">
        <v>0.85</v>
      </c>
      <c r="L18" s="1100">
        <f t="shared" si="4"/>
        <v>0.85792746113989649</v>
      </c>
    </row>
    <row r="19" spans="1:12" ht="24" customHeight="1">
      <c r="A19" s="227" t="s">
        <v>151</v>
      </c>
      <c r="B19" s="209">
        <f>0.67+0.01</f>
        <v>0.68</v>
      </c>
      <c r="C19" s="702">
        <v>4219</v>
      </c>
      <c r="D19" s="702">
        <v>9970</v>
      </c>
      <c r="E19" s="702">
        <v>9964</v>
      </c>
      <c r="F19" s="421">
        <f t="shared" si="5"/>
        <v>-6</v>
      </c>
      <c r="G19" s="282">
        <f t="shared" si="3"/>
        <v>-0.06</v>
      </c>
      <c r="H19" s="422">
        <f t="shared" si="2"/>
        <v>14652.941176470587</v>
      </c>
      <c r="I19" s="1098">
        <f t="shared" si="0"/>
        <v>-6.0180541624876849E-4</v>
      </c>
      <c r="J19" s="1099"/>
      <c r="K19" s="1100">
        <v>0.67</v>
      </c>
      <c r="L19" s="1100">
        <f t="shared" si="4"/>
        <v>0.67624870466321263</v>
      </c>
    </row>
    <row r="20" spans="1:12" ht="24" customHeight="1">
      <c r="A20" s="227" t="s">
        <v>152</v>
      </c>
      <c r="B20" s="209">
        <f>0.93+0.01</f>
        <v>0.94000000000000006</v>
      </c>
      <c r="C20" s="702">
        <v>1867</v>
      </c>
      <c r="D20" s="702">
        <v>4789</v>
      </c>
      <c r="E20" s="702">
        <v>4910</v>
      </c>
      <c r="F20" s="421">
        <f t="shared" si="5"/>
        <v>121</v>
      </c>
      <c r="G20" s="282">
        <f t="shared" si="3"/>
        <v>2.5270000000000001</v>
      </c>
      <c r="H20" s="422">
        <f t="shared" si="2"/>
        <v>5223.4042553191484</v>
      </c>
      <c r="I20" s="1098">
        <f t="shared" si="0"/>
        <v>2.5266235122154868E-2</v>
      </c>
      <c r="J20" s="1099"/>
      <c r="K20" s="1100">
        <v>0.93</v>
      </c>
      <c r="L20" s="1100">
        <f t="shared" si="4"/>
        <v>0.93867357512953387</v>
      </c>
    </row>
    <row r="21" spans="1:12" ht="24" customHeight="1">
      <c r="A21" s="227" t="s">
        <v>153</v>
      </c>
      <c r="B21" s="209">
        <f>0.85+0.01</f>
        <v>0.86</v>
      </c>
      <c r="C21" s="702">
        <v>2175</v>
      </c>
      <c r="D21" s="702">
        <v>5212</v>
      </c>
      <c r="E21" s="702">
        <v>5366</v>
      </c>
      <c r="F21" s="421">
        <f t="shared" si="5"/>
        <v>154</v>
      </c>
      <c r="G21" s="282">
        <f t="shared" si="3"/>
        <v>2.9550000000000001</v>
      </c>
      <c r="H21" s="422">
        <f t="shared" si="2"/>
        <v>6239.5348837209303</v>
      </c>
      <c r="I21" s="1098">
        <f t="shared" si="0"/>
        <v>2.9547198772064576E-2</v>
      </c>
      <c r="J21" s="1099"/>
      <c r="K21" s="1100">
        <v>0.85</v>
      </c>
      <c r="L21" s="1100">
        <f t="shared" si="4"/>
        <v>0.85792746113989649</v>
      </c>
    </row>
    <row r="22" spans="1:12" ht="24" customHeight="1">
      <c r="A22" s="227" t="s">
        <v>154</v>
      </c>
      <c r="B22" s="209">
        <f>1.52+0.01</f>
        <v>1.53</v>
      </c>
      <c r="C22" s="702">
        <v>3016</v>
      </c>
      <c r="D22" s="702">
        <v>7174</v>
      </c>
      <c r="E22" s="702">
        <v>7295</v>
      </c>
      <c r="F22" s="421">
        <f t="shared" si="5"/>
        <v>121</v>
      </c>
      <c r="G22" s="282">
        <f t="shared" si="3"/>
        <v>1.6870000000000001</v>
      </c>
      <c r="H22" s="422">
        <f t="shared" si="2"/>
        <v>4767.9738562091507</v>
      </c>
      <c r="I22" s="1098">
        <f t="shared" si="0"/>
        <v>1.686646222470034E-2</v>
      </c>
      <c r="J22" s="1099"/>
      <c r="K22" s="1100">
        <v>1.52</v>
      </c>
      <c r="L22" s="1100">
        <f t="shared" si="4"/>
        <v>1.5341761658031092</v>
      </c>
    </row>
    <row r="23" spans="1:12" ht="24" customHeight="1">
      <c r="A23" s="227" t="s">
        <v>155</v>
      </c>
      <c r="B23" s="209">
        <f>1.35+0.01</f>
        <v>1.36</v>
      </c>
      <c r="C23" s="702">
        <v>4049</v>
      </c>
      <c r="D23" s="702">
        <v>10173</v>
      </c>
      <c r="E23" s="702">
        <v>10063</v>
      </c>
      <c r="F23" s="421">
        <f t="shared" si="5"/>
        <v>-110</v>
      </c>
      <c r="G23" s="282">
        <f t="shared" si="3"/>
        <v>-1.081</v>
      </c>
      <c r="H23" s="422">
        <f t="shared" si="2"/>
        <v>7399.2647058823522</v>
      </c>
      <c r="I23" s="1098">
        <f t="shared" si="0"/>
        <v>-1.0812936203676404E-2</v>
      </c>
      <c r="J23" s="1099"/>
      <c r="K23" s="1100">
        <v>1.35</v>
      </c>
      <c r="L23" s="1100">
        <f t="shared" si="4"/>
        <v>1.3625906735751299</v>
      </c>
    </row>
    <row r="24" spans="1:12" ht="24" customHeight="1">
      <c r="A24" s="227" t="s">
        <v>156</v>
      </c>
      <c r="B24" s="209">
        <f>0.72+0.01</f>
        <v>0.73</v>
      </c>
      <c r="C24" s="702">
        <v>1289</v>
      </c>
      <c r="D24" s="702">
        <v>3320</v>
      </c>
      <c r="E24" s="702">
        <v>3331</v>
      </c>
      <c r="F24" s="421">
        <f t="shared" si="5"/>
        <v>11</v>
      </c>
      <c r="G24" s="282">
        <f t="shared" si="3"/>
        <v>0.33100000000000002</v>
      </c>
      <c r="H24" s="422">
        <f t="shared" si="2"/>
        <v>4563.0136986301368</v>
      </c>
      <c r="I24" s="1098">
        <f t="shared" si="0"/>
        <v>3.3132530120481007E-3</v>
      </c>
      <c r="J24" s="1099"/>
      <c r="K24" s="1100">
        <v>0.72</v>
      </c>
      <c r="L24" s="1100">
        <f t="shared" si="4"/>
        <v>0.72671502590673587</v>
      </c>
    </row>
    <row r="25" spans="1:12" ht="24" customHeight="1">
      <c r="A25" s="227" t="s">
        <v>157</v>
      </c>
      <c r="B25" s="504">
        <f>0.68+0.01</f>
        <v>0.69000000000000006</v>
      </c>
      <c r="C25" s="702">
        <v>2268</v>
      </c>
      <c r="D25" s="702">
        <v>5265</v>
      </c>
      <c r="E25" s="702">
        <v>5293</v>
      </c>
      <c r="F25" s="421">
        <f t="shared" si="5"/>
        <v>28</v>
      </c>
      <c r="G25" s="282">
        <f t="shared" si="3"/>
        <v>0.53200000000000003</v>
      </c>
      <c r="H25" s="422">
        <f>E25/B25</f>
        <v>7671.0144927536221</v>
      </c>
      <c r="I25" s="1098">
        <f t="shared" si="0"/>
        <v>5.3181386514720153E-3</v>
      </c>
      <c r="J25" s="1099"/>
      <c r="K25" s="1100">
        <v>0.68</v>
      </c>
      <c r="L25" s="1100">
        <f t="shared" si="4"/>
        <v>0.68634196891191723</v>
      </c>
    </row>
    <row r="26" spans="1:12" ht="24" customHeight="1">
      <c r="A26" s="227" t="s">
        <v>158</v>
      </c>
      <c r="B26" s="504">
        <f>0.95+0.03+0.01</f>
        <v>0.99</v>
      </c>
      <c r="C26" s="423">
        <v>0</v>
      </c>
      <c r="D26" s="423">
        <v>0</v>
      </c>
      <c r="E26" s="423">
        <v>0</v>
      </c>
      <c r="F26" s="34" t="s">
        <v>149</v>
      </c>
      <c r="G26" s="34" t="s">
        <v>149</v>
      </c>
      <c r="H26" s="424">
        <f t="shared" si="2"/>
        <v>0</v>
      </c>
      <c r="I26" s="1098" t="e">
        <f t="shared" si="0"/>
        <v>#DIV/0!</v>
      </c>
      <c r="J26" s="1099"/>
      <c r="K26" s="1100">
        <v>0.98</v>
      </c>
      <c r="L26" s="1100">
        <f t="shared" si="4"/>
        <v>0.9891398963730571</v>
      </c>
    </row>
    <row r="27" spans="1:12" ht="24" customHeight="1">
      <c r="A27" s="425" t="s">
        <v>159</v>
      </c>
      <c r="B27" s="209">
        <v>0.33</v>
      </c>
      <c r="C27" s="702">
        <v>5</v>
      </c>
      <c r="D27" s="702">
        <v>5</v>
      </c>
      <c r="E27" s="702">
        <v>5</v>
      </c>
      <c r="F27" s="421">
        <f>+E27-D27</f>
        <v>0</v>
      </c>
      <c r="G27" s="282">
        <f t="shared" si="3"/>
        <v>0</v>
      </c>
      <c r="H27" s="422">
        <f t="shared" si="2"/>
        <v>15.15151515151515</v>
      </c>
      <c r="I27" s="1098">
        <f t="shared" si="0"/>
        <v>0</v>
      </c>
      <c r="J27" s="1099"/>
      <c r="K27" s="1100">
        <v>0.33</v>
      </c>
      <c r="L27" s="1100">
        <f t="shared" si="4"/>
        <v>0.33307772020725396</v>
      </c>
    </row>
    <row r="28" spans="1:12" ht="24" customHeight="1" thickBot="1">
      <c r="A28" s="215" t="s">
        <v>130</v>
      </c>
      <c r="B28" s="226" t="s">
        <v>467</v>
      </c>
      <c r="C28" s="704">
        <v>41</v>
      </c>
      <c r="D28" s="704">
        <v>121</v>
      </c>
      <c r="E28" s="704">
        <v>86</v>
      </c>
      <c r="F28" s="426">
        <f>+E28-D28</f>
        <v>-35</v>
      </c>
      <c r="G28" s="427">
        <f t="shared" si="3"/>
        <v>-28.926000000000002</v>
      </c>
      <c r="H28" s="428" t="s">
        <v>149</v>
      </c>
      <c r="I28" s="1098">
        <f t="shared" si="0"/>
        <v>-0.28925619834710747</v>
      </c>
      <c r="J28" s="1099"/>
      <c r="K28" s="1099"/>
      <c r="L28" s="1099"/>
    </row>
    <row r="29" spans="1:12" ht="16.5" customHeight="1">
      <c r="A29" s="14" t="s">
        <v>160</v>
      </c>
      <c r="B29" s="15"/>
      <c r="C29" s="15"/>
      <c r="D29" s="15"/>
      <c r="F29" s="429"/>
      <c r="G29" s="430"/>
      <c r="H29" s="431" t="s">
        <v>709</v>
      </c>
      <c r="I29" s="1102"/>
      <c r="J29" s="1099"/>
      <c r="K29" s="1099"/>
      <c r="L29" s="1099"/>
    </row>
    <row r="30" spans="1:12" ht="16.5" customHeight="1">
      <c r="A30" s="14" t="s">
        <v>161</v>
      </c>
      <c r="B30" s="15"/>
      <c r="C30" s="15"/>
      <c r="D30" s="15"/>
      <c r="F30" s="429"/>
      <c r="G30" s="430"/>
      <c r="H30" s="432"/>
      <c r="I30" s="1102"/>
      <c r="J30" s="1099"/>
      <c r="K30" s="1099"/>
      <c r="L30" s="1099"/>
    </row>
    <row r="31" spans="1:12" ht="16.5" customHeight="1">
      <c r="A31" s="14" t="s">
        <v>623</v>
      </c>
      <c r="I31" s="1099"/>
      <c r="J31" s="1099"/>
      <c r="K31" s="1099"/>
      <c r="L31" s="1099"/>
    </row>
    <row r="32" spans="1:12" ht="16.5" customHeight="1">
      <c r="A32" s="592" t="s">
        <v>624</v>
      </c>
    </row>
    <row r="33" spans="1:1" ht="16.5" customHeight="1">
      <c r="A33" s="593" t="s">
        <v>625</v>
      </c>
    </row>
    <row r="34" spans="1:1" ht="16.5" customHeight="1"/>
  </sheetData>
  <sheetProtection selectLockedCells="1" selectUnlockedCells="1"/>
  <mergeCells count="9">
    <mergeCell ref="G1:H1"/>
    <mergeCell ref="G2:H2"/>
    <mergeCell ref="A3:A5"/>
    <mergeCell ref="B3:B5"/>
    <mergeCell ref="C3:C4"/>
    <mergeCell ref="D3:E4"/>
    <mergeCell ref="F3:F5"/>
    <mergeCell ref="G3:G5"/>
    <mergeCell ref="H3:H4"/>
  </mergeCells>
  <phoneticPr fontId="19"/>
  <printOptions horizontalCentered="1"/>
  <pageMargins left="0.59055118110236227" right="0.59055118110236227" top="0.59055118110236227" bottom="0.59055118110236227" header="0.39370078740157483" footer="0.39370078740157483"/>
  <pageSetup paperSize="9" firstPageNumber="0" orientation="portrait" r:id="rId1"/>
  <headerFooter scaleWithDoc="0" alignWithMargins="0">
    <oddHeader>&amp;R&amp;"ＭＳ 明朝,標準"&amp;10人　口</oddHeader>
    <oddFooter>&amp;C&amp;"ＭＳ 明朝,標準"&amp;12&amp;A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L56"/>
  <sheetViews>
    <sheetView view="pageBreakPreview" zoomScaleNormal="100" zoomScaleSheetLayoutView="100" workbookViewId="0">
      <selection activeCell="A2" sqref="A2"/>
    </sheetView>
  </sheetViews>
  <sheetFormatPr defaultRowHeight="15" customHeight="1"/>
  <cols>
    <col min="1" max="1" width="2.75" style="35" customWidth="1"/>
    <col min="2" max="3" width="7.25" style="35" customWidth="1"/>
    <col min="4" max="4" width="0.875" style="35" customWidth="1"/>
    <col min="5" max="12" width="9.25" style="35" customWidth="1"/>
    <col min="13" max="16384" width="9" style="35"/>
  </cols>
  <sheetData>
    <row r="1" spans="1:12" ht="5.0999999999999996" customHeight="1">
      <c r="A1" s="14"/>
      <c r="L1" s="16"/>
    </row>
    <row r="2" spans="1:12" ht="15" customHeight="1" thickBot="1">
      <c r="A2" s="14" t="s">
        <v>162</v>
      </c>
      <c r="L2" s="16" t="s">
        <v>28</v>
      </c>
    </row>
    <row r="3" spans="1:12" ht="22.5" customHeight="1">
      <c r="A3" s="856" t="s">
        <v>163</v>
      </c>
      <c r="B3" s="857"/>
      <c r="C3" s="857"/>
      <c r="D3" s="858"/>
      <c r="E3" s="595" t="s">
        <v>602</v>
      </c>
      <c r="F3" s="595" t="s">
        <v>603</v>
      </c>
      <c r="G3" s="595" t="s">
        <v>604</v>
      </c>
      <c r="H3" s="595" t="s">
        <v>605</v>
      </c>
      <c r="I3" s="595" t="s">
        <v>606</v>
      </c>
      <c r="J3" s="595" t="s">
        <v>600</v>
      </c>
      <c r="K3" s="599" t="s">
        <v>601</v>
      </c>
      <c r="L3" s="707" t="s">
        <v>629</v>
      </c>
    </row>
    <row r="4" spans="1:12" ht="18" customHeight="1">
      <c r="A4" s="859" t="s">
        <v>164</v>
      </c>
      <c r="B4" s="860"/>
      <c r="C4" s="860"/>
      <c r="D4" s="861"/>
      <c r="E4" s="459">
        <f t="shared" ref="E4:J4" si="0">SUM(E6:E19)</f>
        <v>568</v>
      </c>
      <c r="F4" s="459">
        <f t="shared" si="0"/>
        <v>556</v>
      </c>
      <c r="G4" s="459">
        <f t="shared" si="0"/>
        <v>599</v>
      </c>
      <c r="H4" s="459">
        <f t="shared" si="0"/>
        <v>684</v>
      </c>
      <c r="I4" s="459">
        <f t="shared" si="0"/>
        <v>764</v>
      </c>
      <c r="J4" s="30">
        <f t="shared" si="0"/>
        <v>804</v>
      </c>
      <c r="K4" s="417">
        <f>SUM(K6:K19)</f>
        <v>1022</v>
      </c>
      <c r="L4" s="551">
        <f>SUM(L6:L19)</f>
        <v>916</v>
      </c>
    </row>
    <row r="5" spans="1:12" ht="12" customHeight="1">
      <c r="A5" s="201"/>
      <c r="B5" s="539"/>
      <c r="C5" s="208"/>
      <c r="D5" s="235"/>
      <c r="E5" s="542"/>
      <c r="F5" s="542"/>
      <c r="G5" s="542"/>
      <c r="H5" s="542"/>
      <c r="I5" s="543"/>
      <c r="J5" s="391"/>
      <c r="K5" s="391"/>
      <c r="L5" s="552"/>
    </row>
    <row r="6" spans="1:12" ht="14.25" customHeight="1">
      <c r="A6" s="201"/>
      <c r="B6" s="854" t="s">
        <v>165</v>
      </c>
      <c r="C6" s="854"/>
      <c r="D6" s="236"/>
      <c r="E6" s="596">
        <v>125</v>
      </c>
      <c r="F6" s="596">
        <v>118</v>
      </c>
      <c r="G6" s="392">
        <v>123</v>
      </c>
      <c r="H6" s="392">
        <v>107</v>
      </c>
      <c r="I6" s="392">
        <v>107</v>
      </c>
      <c r="J6" s="392">
        <v>108</v>
      </c>
      <c r="K6" s="392">
        <v>99</v>
      </c>
      <c r="L6" s="759">
        <v>94</v>
      </c>
    </row>
    <row r="7" spans="1:12" ht="14.25" customHeight="1">
      <c r="A7" s="201"/>
      <c r="B7" s="854" t="s">
        <v>166</v>
      </c>
      <c r="C7" s="854"/>
      <c r="D7" s="236"/>
      <c r="E7" s="284">
        <v>99</v>
      </c>
      <c r="F7" s="596">
        <v>88</v>
      </c>
      <c r="G7" s="392">
        <v>81</v>
      </c>
      <c r="H7" s="392">
        <v>74</v>
      </c>
      <c r="I7" s="392">
        <v>71</v>
      </c>
      <c r="J7" s="392">
        <v>71</v>
      </c>
      <c r="K7" s="392">
        <v>67</v>
      </c>
      <c r="L7" s="759">
        <v>72</v>
      </c>
    </row>
    <row r="8" spans="1:12" ht="14.25" customHeight="1">
      <c r="A8" s="201"/>
      <c r="B8" s="854" t="s">
        <v>167</v>
      </c>
      <c r="C8" s="854"/>
      <c r="D8" s="236"/>
      <c r="E8" s="596">
        <v>69</v>
      </c>
      <c r="F8" s="596">
        <v>61</v>
      </c>
      <c r="G8" s="392">
        <v>59</v>
      </c>
      <c r="H8" s="392">
        <v>38</v>
      </c>
      <c r="I8" s="392">
        <v>41</v>
      </c>
      <c r="J8" s="392">
        <v>42</v>
      </c>
      <c r="K8" s="392">
        <v>53</v>
      </c>
      <c r="L8" s="759">
        <v>50</v>
      </c>
    </row>
    <row r="9" spans="1:12" ht="14.25" customHeight="1">
      <c r="A9" s="201"/>
      <c r="B9" s="854" t="s">
        <v>168</v>
      </c>
      <c r="C9" s="854"/>
      <c r="D9" s="236"/>
      <c r="E9" s="596">
        <v>94</v>
      </c>
      <c r="F9" s="596">
        <v>80</v>
      </c>
      <c r="G9" s="392">
        <v>73</v>
      </c>
      <c r="H9" s="392">
        <v>71</v>
      </c>
      <c r="I9" s="392">
        <v>67</v>
      </c>
      <c r="J9" s="392">
        <v>76</v>
      </c>
      <c r="K9" s="392">
        <v>97</v>
      </c>
      <c r="L9" s="759">
        <v>70</v>
      </c>
    </row>
    <row r="10" spans="1:12" s="106" customFormat="1" ht="14.25" customHeight="1">
      <c r="A10" s="129"/>
      <c r="B10" s="855" t="s">
        <v>572</v>
      </c>
      <c r="C10" s="855"/>
      <c r="D10" s="237"/>
      <c r="E10" s="283">
        <v>37</v>
      </c>
      <c r="F10" s="283">
        <v>76</v>
      </c>
      <c r="G10" s="392">
        <v>119</v>
      </c>
      <c r="H10" s="392">
        <v>213</v>
      </c>
      <c r="I10" s="392">
        <v>301</v>
      </c>
      <c r="J10" s="392">
        <v>355</v>
      </c>
      <c r="K10" s="392">
        <v>529</v>
      </c>
      <c r="L10" s="759">
        <v>448</v>
      </c>
    </row>
    <row r="11" spans="1:12" ht="14.25" customHeight="1">
      <c r="A11" s="201"/>
      <c r="B11" s="854" t="s">
        <v>169</v>
      </c>
      <c r="C11" s="854"/>
      <c r="D11" s="236"/>
      <c r="E11" s="596">
        <v>26</v>
      </c>
      <c r="F11" s="596">
        <v>22</v>
      </c>
      <c r="G11" s="392">
        <v>20</v>
      </c>
      <c r="H11" s="392">
        <v>37</v>
      </c>
      <c r="I11" s="392">
        <v>69</v>
      </c>
      <c r="J11" s="392">
        <v>53</v>
      </c>
      <c r="K11" s="392">
        <v>63</v>
      </c>
      <c r="L11" s="759">
        <v>56</v>
      </c>
    </row>
    <row r="12" spans="1:12" ht="14.25" customHeight="1">
      <c r="A12" s="201"/>
      <c r="B12" s="854" t="s">
        <v>170</v>
      </c>
      <c r="C12" s="854"/>
      <c r="D12" s="236"/>
      <c r="E12" s="596">
        <v>9</v>
      </c>
      <c r="F12" s="596">
        <v>9</v>
      </c>
      <c r="G12" s="392">
        <v>6</v>
      </c>
      <c r="H12" s="392">
        <v>5</v>
      </c>
      <c r="I12" s="392">
        <v>6</v>
      </c>
      <c r="J12" s="392">
        <v>6</v>
      </c>
      <c r="K12" s="392">
        <v>7</v>
      </c>
      <c r="L12" s="759">
        <v>7</v>
      </c>
    </row>
    <row r="13" spans="1:12" ht="14.25" customHeight="1">
      <c r="A13" s="201"/>
      <c r="B13" s="854" t="s">
        <v>171</v>
      </c>
      <c r="C13" s="854"/>
      <c r="D13" s="236"/>
      <c r="E13" s="596">
        <v>2</v>
      </c>
      <c r="F13" s="596">
        <v>4</v>
      </c>
      <c r="G13" s="392">
        <v>4</v>
      </c>
      <c r="H13" s="392">
        <v>3</v>
      </c>
      <c r="I13" s="392">
        <v>3</v>
      </c>
      <c r="J13" s="392">
        <v>5</v>
      </c>
      <c r="K13" s="392">
        <v>4</v>
      </c>
      <c r="L13" s="759">
        <v>8</v>
      </c>
    </row>
    <row r="14" spans="1:12" ht="14.25" customHeight="1">
      <c r="A14" s="201"/>
      <c r="B14" s="854" t="s">
        <v>172</v>
      </c>
      <c r="C14" s="854"/>
      <c r="D14" s="236"/>
      <c r="E14" s="596">
        <v>8</v>
      </c>
      <c r="F14" s="596">
        <v>6</v>
      </c>
      <c r="G14" s="392">
        <v>8</v>
      </c>
      <c r="H14" s="392">
        <v>6</v>
      </c>
      <c r="I14" s="392">
        <v>6</v>
      </c>
      <c r="J14" s="392">
        <v>5</v>
      </c>
      <c r="K14" s="392">
        <v>6</v>
      </c>
      <c r="L14" s="759">
        <v>7</v>
      </c>
    </row>
    <row r="15" spans="1:12" ht="14.25" customHeight="1">
      <c r="A15" s="201"/>
      <c r="B15" s="854" t="s">
        <v>173</v>
      </c>
      <c r="C15" s="854"/>
      <c r="D15" s="238"/>
      <c r="E15" s="596">
        <v>3</v>
      </c>
      <c r="F15" s="596">
        <v>3</v>
      </c>
      <c r="G15" s="392">
        <v>5</v>
      </c>
      <c r="H15" s="392">
        <v>5</v>
      </c>
      <c r="I15" s="392">
        <v>4</v>
      </c>
      <c r="J15" s="392">
        <v>4</v>
      </c>
      <c r="K15" s="392">
        <v>4</v>
      </c>
      <c r="L15" s="759">
        <v>4</v>
      </c>
    </row>
    <row r="16" spans="1:12" ht="14.25" customHeight="1">
      <c r="A16" s="201"/>
      <c r="B16" s="854" t="s">
        <v>174</v>
      </c>
      <c r="C16" s="854"/>
      <c r="D16" s="236"/>
      <c r="E16" s="596">
        <v>4</v>
      </c>
      <c r="F16" s="596">
        <v>4</v>
      </c>
      <c r="G16" s="392">
        <v>4</v>
      </c>
      <c r="H16" s="392">
        <v>3</v>
      </c>
      <c r="I16" s="392">
        <v>6</v>
      </c>
      <c r="J16" s="392">
        <v>5</v>
      </c>
      <c r="K16" s="392">
        <v>7</v>
      </c>
      <c r="L16" s="759">
        <v>5</v>
      </c>
    </row>
    <row r="17" spans="1:12" ht="14.25" customHeight="1">
      <c r="A17" s="201"/>
      <c r="B17" s="854" t="s">
        <v>175</v>
      </c>
      <c r="C17" s="854"/>
      <c r="D17" s="236"/>
      <c r="E17" s="596">
        <v>1</v>
      </c>
      <c r="F17" s="596">
        <v>1</v>
      </c>
      <c r="G17" s="392">
        <v>1</v>
      </c>
      <c r="H17" s="392">
        <v>1</v>
      </c>
      <c r="I17" s="695">
        <v>0</v>
      </c>
      <c r="J17" s="695">
        <v>0</v>
      </c>
      <c r="K17" s="695">
        <v>0</v>
      </c>
      <c r="L17" s="760">
        <v>0</v>
      </c>
    </row>
    <row r="18" spans="1:12" ht="14.25" customHeight="1">
      <c r="A18" s="201"/>
      <c r="B18" s="854" t="s">
        <v>176</v>
      </c>
      <c r="C18" s="854"/>
      <c r="D18" s="236"/>
      <c r="E18" s="596">
        <v>4</v>
      </c>
      <c r="F18" s="596">
        <v>4</v>
      </c>
      <c r="G18" s="392">
        <v>3</v>
      </c>
      <c r="H18" s="392">
        <v>3</v>
      </c>
      <c r="I18" s="392">
        <v>4</v>
      </c>
      <c r="J18" s="392">
        <v>5</v>
      </c>
      <c r="K18" s="392">
        <v>6</v>
      </c>
      <c r="L18" s="759">
        <v>6</v>
      </c>
    </row>
    <row r="19" spans="1:12" ht="18" customHeight="1" thickBot="1">
      <c r="A19" s="202"/>
      <c r="B19" s="865" t="s">
        <v>177</v>
      </c>
      <c r="C19" s="865"/>
      <c r="D19" s="239"/>
      <c r="E19" s="207">
        <v>87</v>
      </c>
      <c r="F19" s="207">
        <v>80</v>
      </c>
      <c r="G19" s="393">
        <v>93</v>
      </c>
      <c r="H19" s="393">
        <v>118</v>
      </c>
      <c r="I19" s="393">
        <v>79</v>
      </c>
      <c r="J19" s="393">
        <v>69</v>
      </c>
      <c r="K19" s="393">
        <v>80</v>
      </c>
      <c r="L19" s="761">
        <v>89</v>
      </c>
    </row>
    <row r="20" spans="1:12" ht="18" customHeight="1">
      <c r="A20" s="866" t="s">
        <v>584</v>
      </c>
      <c r="B20" s="866"/>
      <c r="C20" s="866"/>
      <c r="D20" s="866"/>
      <c r="E20" s="866"/>
      <c r="F20" s="866"/>
      <c r="G20" s="866"/>
      <c r="I20" s="14"/>
      <c r="K20" s="540"/>
      <c r="L20" s="538" t="s">
        <v>178</v>
      </c>
    </row>
    <row r="21" spans="1:12" ht="20.25" customHeight="1" thickBot="1">
      <c r="A21" s="862" t="s">
        <v>179</v>
      </c>
      <c r="B21" s="862"/>
      <c r="C21" s="862"/>
      <c r="D21" s="862"/>
      <c r="E21" s="862"/>
      <c r="F21" s="862"/>
      <c r="L21" s="784" t="s">
        <v>180</v>
      </c>
    </row>
    <row r="22" spans="1:12" ht="22.5" customHeight="1">
      <c r="A22" s="842" t="s">
        <v>181</v>
      </c>
      <c r="B22" s="829"/>
      <c r="C22" s="863" t="s">
        <v>182</v>
      </c>
      <c r="D22" s="863"/>
      <c r="E22" s="829" t="s">
        <v>183</v>
      </c>
      <c r="F22" s="829"/>
      <c r="G22" s="829"/>
      <c r="H22" s="829" t="s">
        <v>184</v>
      </c>
      <c r="I22" s="829"/>
      <c r="J22" s="829"/>
      <c r="K22" s="203"/>
      <c r="L22" s="204"/>
    </row>
    <row r="23" spans="1:12" ht="15.75" customHeight="1">
      <c r="A23" s="843"/>
      <c r="B23" s="830"/>
      <c r="C23" s="864"/>
      <c r="D23" s="864"/>
      <c r="E23" s="541" t="s">
        <v>185</v>
      </c>
      <c r="F23" s="537" t="s">
        <v>186</v>
      </c>
      <c r="G23" s="537" t="s">
        <v>187</v>
      </c>
      <c r="H23" s="537" t="s">
        <v>188</v>
      </c>
      <c r="I23" s="537" t="s">
        <v>189</v>
      </c>
      <c r="J23" s="537" t="s">
        <v>190</v>
      </c>
      <c r="K23" s="544" t="s">
        <v>191</v>
      </c>
      <c r="L23" s="545" t="s">
        <v>192</v>
      </c>
    </row>
    <row r="24" spans="1:12" ht="15.75" customHeight="1">
      <c r="A24" s="843"/>
      <c r="B24" s="830"/>
      <c r="C24" s="867" t="s">
        <v>193</v>
      </c>
      <c r="D24" s="867"/>
      <c r="E24" s="36" t="s">
        <v>194</v>
      </c>
      <c r="F24" s="37" t="s">
        <v>195</v>
      </c>
      <c r="G24" s="38" t="s">
        <v>196</v>
      </c>
      <c r="H24" s="39" t="s">
        <v>197</v>
      </c>
      <c r="I24" s="37" t="s">
        <v>198</v>
      </c>
      <c r="J24" s="38" t="s">
        <v>199</v>
      </c>
      <c r="K24" s="27"/>
      <c r="L24" s="205"/>
    </row>
    <row r="25" spans="1:12" ht="14.25" customHeight="1">
      <c r="A25" s="870" t="s">
        <v>630</v>
      </c>
      <c r="B25" s="871"/>
      <c r="C25" s="872">
        <f t="shared" ref="C25:C32" si="1">E25+H25</f>
        <v>1230</v>
      </c>
      <c r="D25" s="873"/>
      <c r="E25" s="40">
        <f t="shared" ref="E25:E31" si="2">F25-G25</f>
        <v>1217</v>
      </c>
      <c r="F25" s="40">
        <v>1635</v>
      </c>
      <c r="G25" s="40">
        <v>418</v>
      </c>
      <c r="H25" s="40">
        <f t="shared" ref="H25:H34" si="3">I25-J25</f>
        <v>13</v>
      </c>
      <c r="I25" s="40">
        <v>6650</v>
      </c>
      <c r="J25" s="40">
        <v>6637</v>
      </c>
      <c r="K25" s="40">
        <v>841</v>
      </c>
      <c r="L25" s="522">
        <v>316</v>
      </c>
    </row>
    <row r="26" spans="1:12" ht="14.25" customHeight="1">
      <c r="A26" s="868" t="s">
        <v>479</v>
      </c>
      <c r="B26" s="869"/>
      <c r="C26" s="884">
        <f t="shared" si="1"/>
        <v>462</v>
      </c>
      <c r="D26" s="885"/>
      <c r="E26" s="40">
        <f t="shared" si="2"/>
        <v>1238</v>
      </c>
      <c r="F26" s="40">
        <v>1675</v>
      </c>
      <c r="G26" s="40">
        <v>437</v>
      </c>
      <c r="H26" s="40">
        <f t="shared" si="3"/>
        <v>-776</v>
      </c>
      <c r="I26" s="40">
        <v>6032</v>
      </c>
      <c r="J26" s="40">
        <v>6808</v>
      </c>
      <c r="K26" s="40">
        <v>818</v>
      </c>
      <c r="L26" s="522">
        <v>339</v>
      </c>
    </row>
    <row r="27" spans="1:12" ht="14.25" customHeight="1">
      <c r="A27" s="868" t="s">
        <v>480</v>
      </c>
      <c r="B27" s="869"/>
      <c r="C27" s="884">
        <f t="shared" si="1"/>
        <v>715</v>
      </c>
      <c r="D27" s="885"/>
      <c r="E27" s="40">
        <f t="shared" si="2"/>
        <v>1145</v>
      </c>
      <c r="F27" s="40">
        <v>1559</v>
      </c>
      <c r="G27" s="40">
        <v>414</v>
      </c>
      <c r="H27" s="40">
        <f t="shared" si="3"/>
        <v>-430</v>
      </c>
      <c r="I27" s="40">
        <v>6295</v>
      </c>
      <c r="J27" s="40">
        <v>6725</v>
      </c>
      <c r="K27" s="40">
        <v>833</v>
      </c>
      <c r="L27" s="522">
        <v>310</v>
      </c>
    </row>
    <row r="28" spans="1:12" ht="14.25" customHeight="1">
      <c r="A28" s="868" t="s">
        <v>481</v>
      </c>
      <c r="B28" s="869"/>
      <c r="C28" s="884">
        <f t="shared" si="1"/>
        <v>736</v>
      </c>
      <c r="D28" s="885"/>
      <c r="E28" s="40">
        <f t="shared" si="2"/>
        <v>1143</v>
      </c>
      <c r="F28" s="40">
        <v>1621</v>
      </c>
      <c r="G28" s="40">
        <v>478</v>
      </c>
      <c r="H28" s="40">
        <f t="shared" si="3"/>
        <v>-407</v>
      </c>
      <c r="I28" s="40">
        <v>6152</v>
      </c>
      <c r="J28" s="40">
        <v>6559</v>
      </c>
      <c r="K28" s="40">
        <v>771</v>
      </c>
      <c r="L28" s="522">
        <v>296</v>
      </c>
    </row>
    <row r="29" spans="1:12" ht="14.25" customHeight="1">
      <c r="A29" s="868" t="s">
        <v>482</v>
      </c>
      <c r="B29" s="869"/>
      <c r="C29" s="884">
        <f t="shared" si="1"/>
        <v>589</v>
      </c>
      <c r="D29" s="885"/>
      <c r="E29" s="40">
        <f t="shared" si="2"/>
        <v>1041</v>
      </c>
      <c r="F29" s="40">
        <v>1542</v>
      </c>
      <c r="G29" s="40">
        <v>501</v>
      </c>
      <c r="H29" s="40">
        <f t="shared" si="3"/>
        <v>-452</v>
      </c>
      <c r="I29" s="40">
        <v>6092</v>
      </c>
      <c r="J29" s="40">
        <v>6544</v>
      </c>
      <c r="K29" s="40">
        <v>781</v>
      </c>
      <c r="L29" s="522">
        <v>304</v>
      </c>
    </row>
    <row r="30" spans="1:12" ht="14.25" customHeight="1">
      <c r="A30" s="868" t="s">
        <v>483</v>
      </c>
      <c r="B30" s="869"/>
      <c r="C30" s="884">
        <f t="shared" si="1"/>
        <v>947</v>
      </c>
      <c r="D30" s="885"/>
      <c r="E30" s="40">
        <f t="shared" si="2"/>
        <v>975</v>
      </c>
      <c r="F30" s="40">
        <v>1478</v>
      </c>
      <c r="G30" s="40">
        <v>503</v>
      </c>
      <c r="H30" s="34">
        <f t="shared" si="3"/>
        <v>-28</v>
      </c>
      <c r="I30" s="40">
        <v>6251</v>
      </c>
      <c r="J30" s="40">
        <v>6279</v>
      </c>
      <c r="K30" s="40">
        <v>798</v>
      </c>
      <c r="L30" s="522">
        <v>327</v>
      </c>
    </row>
    <row r="31" spans="1:12" ht="14.25" customHeight="1">
      <c r="A31" s="868" t="s">
        <v>484</v>
      </c>
      <c r="B31" s="869"/>
      <c r="C31" s="884">
        <f t="shared" si="1"/>
        <v>874</v>
      </c>
      <c r="D31" s="885"/>
      <c r="E31" s="40">
        <f t="shared" si="2"/>
        <v>1022</v>
      </c>
      <c r="F31" s="40">
        <v>1525</v>
      </c>
      <c r="G31" s="40">
        <v>503</v>
      </c>
      <c r="H31" s="34">
        <f t="shared" si="3"/>
        <v>-148</v>
      </c>
      <c r="I31" s="40">
        <v>6144</v>
      </c>
      <c r="J31" s="40">
        <v>6292</v>
      </c>
      <c r="K31" s="40">
        <v>1282</v>
      </c>
      <c r="L31" s="522">
        <v>444</v>
      </c>
    </row>
    <row r="32" spans="1:12" ht="14.25" customHeight="1">
      <c r="A32" s="868" t="s">
        <v>485</v>
      </c>
      <c r="B32" s="869"/>
      <c r="C32" s="884">
        <f t="shared" si="1"/>
        <v>786</v>
      </c>
      <c r="D32" s="885"/>
      <c r="E32" s="40">
        <f>F32-G32</f>
        <v>908</v>
      </c>
      <c r="F32" s="40">
        <v>1503</v>
      </c>
      <c r="G32" s="40">
        <v>595</v>
      </c>
      <c r="H32" s="34">
        <f t="shared" si="3"/>
        <v>-122</v>
      </c>
      <c r="I32" s="40">
        <v>6076</v>
      </c>
      <c r="J32" s="40">
        <v>6198</v>
      </c>
      <c r="K32" s="40">
        <v>1206</v>
      </c>
      <c r="L32" s="522">
        <v>440</v>
      </c>
    </row>
    <row r="33" spans="1:12" ht="14.25" customHeight="1">
      <c r="A33" s="868" t="s">
        <v>608</v>
      </c>
      <c r="B33" s="869"/>
      <c r="C33" s="884">
        <f>E33+H33</f>
        <v>689</v>
      </c>
      <c r="D33" s="885"/>
      <c r="E33" s="40">
        <f t="shared" ref="E33:E37" si="4">F33-G33</f>
        <v>957</v>
      </c>
      <c r="F33" s="40">
        <v>1516</v>
      </c>
      <c r="G33" s="40">
        <v>559</v>
      </c>
      <c r="H33" s="34">
        <f t="shared" si="3"/>
        <v>-268</v>
      </c>
      <c r="I33" s="40">
        <v>5782</v>
      </c>
      <c r="J33" s="40">
        <v>6050</v>
      </c>
      <c r="K33" s="40">
        <v>1371</v>
      </c>
      <c r="L33" s="522">
        <v>463</v>
      </c>
    </row>
    <row r="34" spans="1:12" ht="14.25" customHeight="1">
      <c r="A34" s="868" t="s">
        <v>585</v>
      </c>
      <c r="B34" s="869"/>
      <c r="C34" s="884">
        <f t="shared" ref="C34:C36" si="5">E34+H34</f>
        <v>883</v>
      </c>
      <c r="D34" s="885"/>
      <c r="E34" s="40">
        <f t="shared" si="4"/>
        <v>967</v>
      </c>
      <c r="F34" s="40">
        <v>1544</v>
      </c>
      <c r="G34" s="40">
        <v>577</v>
      </c>
      <c r="H34" s="40">
        <f t="shared" si="3"/>
        <v>-84</v>
      </c>
      <c r="I34" s="40">
        <v>5675</v>
      </c>
      <c r="J34" s="40">
        <v>5759</v>
      </c>
      <c r="K34" s="40">
        <v>1301</v>
      </c>
      <c r="L34" s="522">
        <v>411</v>
      </c>
    </row>
    <row r="35" spans="1:12" ht="14.25" customHeight="1">
      <c r="A35" s="868" t="s">
        <v>586</v>
      </c>
      <c r="B35" s="869"/>
      <c r="C35" s="884">
        <f t="shared" si="5"/>
        <v>657</v>
      </c>
      <c r="D35" s="885"/>
      <c r="E35" s="40">
        <f t="shared" si="4"/>
        <v>853</v>
      </c>
      <c r="F35" s="40">
        <v>1507</v>
      </c>
      <c r="G35" s="40">
        <v>654</v>
      </c>
      <c r="H35" s="40">
        <f>I35-J35</f>
        <v>-196</v>
      </c>
      <c r="I35" s="40">
        <v>5698</v>
      </c>
      <c r="J35" s="40">
        <v>5894</v>
      </c>
      <c r="K35" s="42">
        <v>1318</v>
      </c>
      <c r="L35" s="523">
        <v>443</v>
      </c>
    </row>
    <row r="36" spans="1:12" s="41" customFormat="1" ht="14.25" customHeight="1">
      <c r="A36" s="868" t="s">
        <v>587</v>
      </c>
      <c r="B36" s="869"/>
      <c r="C36" s="884">
        <f t="shared" si="5"/>
        <v>727</v>
      </c>
      <c r="D36" s="885"/>
      <c r="E36" s="40">
        <f t="shared" si="4"/>
        <v>859</v>
      </c>
      <c r="F36" s="40">
        <v>1542</v>
      </c>
      <c r="G36" s="40">
        <v>683</v>
      </c>
      <c r="H36" s="40">
        <f t="shared" ref="H36:H37" si="6">I36-J36</f>
        <v>-132</v>
      </c>
      <c r="I36" s="40">
        <v>5604</v>
      </c>
      <c r="J36" s="40">
        <v>5736</v>
      </c>
      <c r="K36" s="43">
        <v>1222</v>
      </c>
      <c r="L36" s="524">
        <v>475</v>
      </c>
    </row>
    <row r="37" spans="1:12" s="41" customFormat="1" ht="14.25" customHeight="1">
      <c r="A37" s="868" t="s">
        <v>588</v>
      </c>
      <c r="B37" s="869"/>
      <c r="C37" s="884">
        <f>E37+H37</f>
        <v>1573</v>
      </c>
      <c r="D37" s="885"/>
      <c r="E37" s="40">
        <f t="shared" si="4"/>
        <v>899</v>
      </c>
      <c r="F37" s="123">
        <v>1540</v>
      </c>
      <c r="G37" s="123">
        <v>641</v>
      </c>
      <c r="H37" s="40">
        <f t="shared" si="6"/>
        <v>674</v>
      </c>
      <c r="I37" s="123">
        <v>6298</v>
      </c>
      <c r="J37" s="123">
        <v>5624</v>
      </c>
      <c r="K37" s="123">
        <v>1271</v>
      </c>
      <c r="L37" s="525">
        <v>428</v>
      </c>
    </row>
    <row r="38" spans="1:12" s="41" customFormat="1" ht="14.25" customHeight="1">
      <c r="A38" s="868" t="s">
        <v>589</v>
      </c>
      <c r="B38" s="869"/>
      <c r="C38" s="886">
        <f>E38+H38</f>
        <v>494</v>
      </c>
      <c r="D38" s="887"/>
      <c r="E38" s="123">
        <f>F38-G38</f>
        <v>812</v>
      </c>
      <c r="F38" s="123">
        <v>1452</v>
      </c>
      <c r="G38" s="123">
        <v>640</v>
      </c>
      <c r="H38" s="123">
        <f>I38-J38</f>
        <v>-318</v>
      </c>
      <c r="I38" s="123">
        <v>6024</v>
      </c>
      <c r="J38" s="123">
        <v>6342</v>
      </c>
      <c r="K38" s="123">
        <v>1319</v>
      </c>
      <c r="L38" s="525">
        <v>423</v>
      </c>
    </row>
    <row r="39" spans="1:12" s="41" customFormat="1" ht="14.25" customHeight="1">
      <c r="A39" s="868" t="s">
        <v>590</v>
      </c>
      <c r="B39" s="869"/>
      <c r="C39" s="875">
        <f>E39+H39</f>
        <v>28</v>
      </c>
      <c r="D39" s="876"/>
      <c r="E39" s="123">
        <f>F39-G39</f>
        <v>720</v>
      </c>
      <c r="F39" s="123">
        <v>1391</v>
      </c>
      <c r="G39" s="123">
        <v>671</v>
      </c>
      <c r="H39" s="123">
        <f>I39-J39</f>
        <v>-692</v>
      </c>
      <c r="I39" s="123">
        <v>5587</v>
      </c>
      <c r="J39" s="123">
        <v>6279</v>
      </c>
      <c r="K39" s="123">
        <v>1282</v>
      </c>
      <c r="L39" s="525">
        <v>434</v>
      </c>
    </row>
    <row r="40" spans="1:12" s="41" customFormat="1" ht="14.25" customHeight="1">
      <c r="A40" s="597" t="s">
        <v>607</v>
      </c>
      <c r="B40" s="598"/>
      <c r="C40" s="875">
        <v>-80</v>
      </c>
      <c r="D40" s="876"/>
      <c r="E40" s="123">
        <v>746</v>
      </c>
      <c r="F40" s="123">
        <v>1433</v>
      </c>
      <c r="G40" s="123">
        <v>687</v>
      </c>
      <c r="H40" s="123">
        <v>-826</v>
      </c>
      <c r="I40" s="123">
        <v>5477</v>
      </c>
      <c r="J40" s="123">
        <v>6303</v>
      </c>
      <c r="K40" s="123">
        <v>1296</v>
      </c>
      <c r="L40" s="525">
        <v>442</v>
      </c>
    </row>
    <row r="41" spans="1:12" s="108" customFormat="1" ht="14.25" customHeight="1">
      <c r="A41" s="693" t="s">
        <v>632</v>
      </c>
      <c r="B41" s="694"/>
      <c r="C41" s="877">
        <f>E41+H41</f>
        <v>152</v>
      </c>
      <c r="D41" s="878"/>
      <c r="E41" s="762">
        <f>F41-G41</f>
        <v>620</v>
      </c>
      <c r="F41" s="762">
        <f>SUM(F43:F54)</f>
        <v>1350</v>
      </c>
      <c r="G41" s="762">
        <f>SUM(G43:G54)</f>
        <v>730</v>
      </c>
      <c r="H41" s="762">
        <f>I41-J41</f>
        <v>-468</v>
      </c>
      <c r="I41" s="762">
        <f>SUM(I43:I54)</f>
        <v>5854</v>
      </c>
      <c r="J41" s="762">
        <f>SUM(J43:J54)</f>
        <v>6322</v>
      </c>
      <c r="K41" s="762">
        <f>SUM(K43:K54)</f>
        <v>1281</v>
      </c>
      <c r="L41" s="763">
        <f>SUM(L43:L54)</f>
        <v>431</v>
      </c>
    </row>
    <row r="42" spans="1:12" s="108" customFormat="1" ht="9.9499999999999993" customHeight="1">
      <c r="A42" s="696"/>
      <c r="B42" s="697"/>
      <c r="C42" s="764"/>
      <c r="D42" s="762"/>
      <c r="E42" s="762"/>
      <c r="F42" s="762"/>
      <c r="G42" s="762"/>
      <c r="H42" s="762"/>
      <c r="I42" s="762"/>
      <c r="J42" s="762"/>
      <c r="K42" s="762"/>
      <c r="L42" s="763"/>
    </row>
    <row r="43" spans="1:12" s="108" customFormat="1" ht="14.25" customHeight="1">
      <c r="A43" s="879" t="s">
        <v>631</v>
      </c>
      <c r="B43" s="880"/>
      <c r="C43" s="874">
        <f>E43+H43</f>
        <v>-17</v>
      </c>
      <c r="D43" s="874"/>
      <c r="E43" s="765">
        <f>F43-G43</f>
        <v>53</v>
      </c>
      <c r="F43" s="765">
        <v>107</v>
      </c>
      <c r="G43" s="765">
        <v>54</v>
      </c>
      <c r="H43" s="765">
        <f>I43-J43</f>
        <v>-70</v>
      </c>
      <c r="I43" s="765">
        <v>349</v>
      </c>
      <c r="J43" s="765">
        <v>419</v>
      </c>
      <c r="K43" s="765">
        <v>116</v>
      </c>
      <c r="L43" s="766">
        <v>41</v>
      </c>
    </row>
    <row r="44" spans="1:12" s="106" customFormat="1" ht="14.25" customHeight="1">
      <c r="A44" s="698" t="s">
        <v>583</v>
      </c>
      <c r="B44" s="699"/>
      <c r="C44" s="874">
        <f t="shared" ref="C44:C54" si="7">E44+H44</f>
        <v>165</v>
      </c>
      <c r="D44" s="874"/>
      <c r="E44" s="765">
        <f t="shared" ref="E44:E54" si="8">F44-G44</f>
        <v>49</v>
      </c>
      <c r="F44" s="765">
        <v>106</v>
      </c>
      <c r="G44" s="765">
        <v>57</v>
      </c>
      <c r="H44" s="765">
        <f t="shared" ref="H44:H54" si="9">I44-J44</f>
        <v>116</v>
      </c>
      <c r="I44" s="765">
        <v>457</v>
      </c>
      <c r="J44" s="765">
        <v>341</v>
      </c>
      <c r="K44" s="765">
        <v>95</v>
      </c>
      <c r="L44" s="766">
        <v>30</v>
      </c>
    </row>
    <row r="45" spans="1:12" s="106" customFormat="1" ht="14.25" customHeight="1">
      <c r="A45" s="698" t="s">
        <v>573</v>
      </c>
      <c r="B45" s="699"/>
      <c r="C45" s="874">
        <f>E45+H45</f>
        <v>-733</v>
      </c>
      <c r="D45" s="874"/>
      <c r="E45" s="765">
        <f t="shared" si="8"/>
        <v>20</v>
      </c>
      <c r="F45" s="765">
        <v>94</v>
      </c>
      <c r="G45" s="765">
        <v>74</v>
      </c>
      <c r="H45" s="765">
        <f t="shared" si="9"/>
        <v>-753</v>
      </c>
      <c r="I45" s="765">
        <v>847</v>
      </c>
      <c r="J45" s="765">
        <v>1600</v>
      </c>
      <c r="K45" s="765">
        <v>125</v>
      </c>
      <c r="L45" s="766">
        <v>51</v>
      </c>
    </row>
    <row r="46" spans="1:12" s="106" customFormat="1" ht="14.25" customHeight="1">
      <c r="A46" s="698" t="s">
        <v>574</v>
      </c>
      <c r="B46" s="699"/>
      <c r="C46" s="874">
        <f t="shared" si="7"/>
        <v>159</v>
      </c>
      <c r="D46" s="874"/>
      <c r="E46" s="765">
        <f t="shared" si="8"/>
        <v>44</v>
      </c>
      <c r="F46" s="765">
        <v>102</v>
      </c>
      <c r="G46" s="765">
        <v>58</v>
      </c>
      <c r="H46" s="765">
        <f t="shared" si="9"/>
        <v>115</v>
      </c>
      <c r="I46" s="765">
        <v>924</v>
      </c>
      <c r="J46" s="765">
        <v>809</v>
      </c>
      <c r="K46" s="765">
        <v>74</v>
      </c>
      <c r="L46" s="766">
        <v>44</v>
      </c>
    </row>
    <row r="47" spans="1:12" s="106" customFormat="1" ht="14.25" customHeight="1">
      <c r="A47" s="698" t="s">
        <v>575</v>
      </c>
      <c r="B47" s="699"/>
      <c r="C47" s="874">
        <f t="shared" si="7"/>
        <v>28</v>
      </c>
      <c r="D47" s="874"/>
      <c r="E47" s="765">
        <f t="shared" si="8"/>
        <v>42</v>
      </c>
      <c r="F47" s="765">
        <v>109</v>
      </c>
      <c r="G47" s="765">
        <v>67</v>
      </c>
      <c r="H47" s="765">
        <f t="shared" si="9"/>
        <v>-14</v>
      </c>
      <c r="I47" s="765">
        <v>422</v>
      </c>
      <c r="J47" s="765">
        <v>436</v>
      </c>
      <c r="K47" s="765">
        <v>105</v>
      </c>
      <c r="L47" s="766">
        <v>39</v>
      </c>
    </row>
    <row r="48" spans="1:12" s="106" customFormat="1" ht="14.25" customHeight="1">
      <c r="A48" s="698" t="s">
        <v>576</v>
      </c>
      <c r="B48" s="699"/>
      <c r="C48" s="874">
        <f t="shared" si="7"/>
        <v>41</v>
      </c>
      <c r="D48" s="874"/>
      <c r="E48" s="765">
        <f t="shared" si="8"/>
        <v>58</v>
      </c>
      <c r="F48" s="765">
        <v>113</v>
      </c>
      <c r="G48" s="765">
        <v>55</v>
      </c>
      <c r="H48" s="765">
        <f t="shared" si="9"/>
        <v>-17</v>
      </c>
      <c r="I48" s="765">
        <v>419</v>
      </c>
      <c r="J48" s="765">
        <v>436</v>
      </c>
      <c r="K48" s="765">
        <v>96</v>
      </c>
      <c r="L48" s="766">
        <v>25</v>
      </c>
    </row>
    <row r="49" spans="1:12" s="106" customFormat="1" ht="14.25" customHeight="1">
      <c r="A49" s="698" t="s">
        <v>577</v>
      </c>
      <c r="B49" s="699"/>
      <c r="C49" s="874">
        <f t="shared" si="7"/>
        <v>109</v>
      </c>
      <c r="D49" s="874"/>
      <c r="E49" s="765">
        <f t="shared" si="8"/>
        <v>59</v>
      </c>
      <c r="F49" s="765">
        <v>120</v>
      </c>
      <c r="G49" s="765">
        <v>61</v>
      </c>
      <c r="H49" s="765">
        <f t="shared" si="9"/>
        <v>50</v>
      </c>
      <c r="I49" s="765">
        <v>444</v>
      </c>
      <c r="J49" s="765">
        <v>394</v>
      </c>
      <c r="K49" s="765">
        <v>140</v>
      </c>
      <c r="L49" s="766">
        <v>33</v>
      </c>
    </row>
    <row r="50" spans="1:12" s="106" customFormat="1" ht="14.25" customHeight="1">
      <c r="A50" s="698" t="s">
        <v>578</v>
      </c>
      <c r="B50" s="699"/>
      <c r="C50" s="874">
        <f t="shared" si="7"/>
        <v>129</v>
      </c>
      <c r="D50" s="874"/>
      <c r="E50" s="765">
        <f t="shared" si="8"/>
        <v>59</v>
      </c>
      <c r="F50" s="765">
        <v>124</v>
      </c>
      <c r="G50" s="765">
        <v>65</v>
      </c>
      <c r="H50" s="765">
        <f t="shared" si="9"/>
        <v>70</v>
      </c>
      <c r="I50" s="765">
        <v>471</v>
      </c>
      <c r="J50" s="765">
        <v>401</v>
      </c>
      <c r="K50" s="765">
        <v>99</v>
      </c>
      <c r="L50" s="766">
        <v>36</v>
      </c>
    </row>
    <row r="51" spans="1:12" s="106" customFormat="1" ht="14.25" customHeight="1">
      <c r="A51" s="698" t="s">
        <v>579</v>
      </c>
      <c r="B51" s="699"/>
      <c r="C51" s="874">
        <f t="shared" si="7"/>
        <v>-54</v>
      </c>
      <c r="D51" s="874"/>
      <c r="E51" s="765">
        <f t="shared" si="8"/>
        <v>44</v>
      </c>
      <c r="F51" s="765">
        <v>112</v>
      </c>
      <c r="G51" s="765">
        <v>68</v>
      </c>
      <c r="H51" s="765">
        <f t="shared" si="9"/>
        <v>-98</v>
      </c>
      <c r="I51" s="765">
        <v>300</v>
      </c>
      <c r="J51" s="765">
        <v>398</v>
      </c>
      <c r="K51" s="765">
        <v>104</v>
      </c>
      <c r="L51" s="766">
        <v>31</v>
      </c>
    </row>
    <row r="52" spans="1:12" s="106" customFormat="1" ht="14.25" customHeight="1">
      <c r="A52" s="698" t="s">
        <v>580</v>
      </c>
      <c r="B52" s="699"/>
      <c r="C52" s="874">
        <f t="shared" si="7"/>
        <v>156</v>
      </c>
      <c r="D52" s="874"/>
      <c r="E52" s="765">
        <f t="shared" si="8"/>
        <v>76</v>
      </c>
      <c r="F52" s="765">
        <v>130</v>
      </c>
      <c r="G52" s="765">
        <v>54</v>
      </c>
      <c r="H52" s="765">
        <f t="shared" si="9"/>
        <v>80</v>
      </c>
      <c r="I52" s="765">
        <v>487</v>
      </c>
      <c r="J52" s="765">
        <v>407</v>
      </c>
      <c r="K52" s="765">
        <v>103</v>
      </c>
      <c r="L52" s="766">
        <v>34</v>
      </c>
    </row>
    <row r="53" spans="1:12" s="106" customFormat="1" ht="14.25" customHeight="1">
      <c r="A53" s="698" t="s">
        <v>581</v>
      </c>
      <c r="B53" s="699"/>
      <c r="C53" s="874">
        <f t="shared" si="7"/>
        <v>146</v>
      </c>
      <c r="D53" s="874"/>
      <c r="E53" s="765">
        <f t="shared" si="8"/>
        <v>57</v>
      </c>
      <c r="F53" s="765">
        <v>120</v>
      </c>
      <c r="G53" s="765">
        <v>63</v>
      </c>
      <c r="H53" s="765">
        <f t="shared" si="9"/>
        <v>89</v>
      </c>
      <c r="I53" s="765">
        <v>401</v>
      </c>
      <c r="J53" s="765">
        <v>312</v>
      </c>
      <c r="K53" s="765">
        <v>120</v>
      </c>
      <c r="L53" s="766">
        <v>33</v>
      </c>
    </row>
    <row r="54" spans="1:12" s="106" customFormat="1" ht="14.25" customHeight="1" thickBot="1">
      <c r="A54" s="881" t="s">
        <v>582</v>
      </c>
      <c r="B54" s="882"/>
      <c r="C54" s="883">
        <f t="shared" si="7"/>
        <v>23</v>
      </c>
      <c r="D54" s="883"/>
      <c r="E54" s="767">
        <f t="shared" si="8"/>
        <v>59</v>
      </c>
      <c r="F54" s="767">
        <v>113</v>
      </c>
      <c r="G54" s="767">
        <v>54</v>
      </c>
      <c r="H54" s="767">
        <f t="shared" si="9"/>
        <v>-36</v>
      </c>
      <c r="I54" s="767">
        <v>333</v>
      </c>
      <c r="J54" s="767">
        <v>369</v>
      </c>
      <c r="K54" s="767">
        <v>104</v>
      </c>
      <c r="L54" s="768">
        <v>34</v>
      </c>
    </row>
    <row r="55" spans="1:12" s="106" customFormat="1" ht="14.25" customHeight="1">
      <c r="A55" s="460" t="s">
        <v>542</v>
      </c>
      <c r="B55" s="460"/>
      <c r="C55" s="461"/>
      <c r="D55" s="35"/>
      <c r="E55" s="35"/>
      <c r="F55" s="35"/>
      <c r="G55" s="35"/>
      <c r="H55" s="35"/>
      <c r="I55" s="461"/>
      <c r="J55" s="35"/>
      <c r="K55" s="35"/>
      <c r="L55" s="16" t="s">
        <v>178</v>
      </c>
    </row>
    <row r="56" spans="1:12" ht="18" customHeight="1">
      <c r="B56" s="16"/>
    </row>
  </sheetData>
  <sheetProtection selectLockedCells="1" selectUnlockedCells="1"/>
  <mergeCells count="69">
    <mergeCell ref="C36:D36"/>
    <mergeCell ref="C37:D37"/>
    <mergeCell ref="C38:D38"/>
    <mergeCell ref="C31:D31"/>
    <mergeCell ref="C32:D32"/>
    <mergeCell ref="C33:D33"/>
    <mergeCell ref="C34:D34"/>
    <mergeCell ref="C35:D35"/>
    <mergeCell ref="C26:D26"/>
    <mergeCell ref="C27:D27"/>
    <mergeCell ref="C28:D28"/>
    <mergeCell ref="C29:D29"/>
    <mergeCell ref="C30:D30"/>
    <mergeCell ref="A54:B54"/>
    <mergeCell ref="C54:D54"/>
    <mergeCell ref="C48:D48"/>
    <mergeCell ref="C49:D49"/>
    <mergeCell ref="C50:D50"/>
    <mergeCell ref="C51:D51"/>
    <mergeCell ref="C52:D52"/>
    <mergeCell ref="C53:D53"/>
    <mergeCell ref="C47:D47"/>
    <mergeCell ref="A38:B38"/>
    <mergeCell ref="A39:B39"/>
    <mergeCell ref="C39:D39"/>
    <mergeCell ref="C40:D40"/>
    <mergeCell ref="C41:D41"/>
    <mergeCell ref="A43:B43"/>
    <mergeCell ref="C43:D43"/>
    <mergeCell ref="C44:D44"/>
    <mergeCell ref="C45:D45"/>
    <mergeCell ref="C46:D46"/>
    <mergeCell ref="H22:J22"/>
    <mergeCell ref="C24:D24"/>
    <mergeCell ref="A37:B37"/>
    <mergeCell ref="A26:B26"/>
    <mergeCell ref="A27:B27"/>
    <mergeCell ref="A28:B28"/>
    <mergeCell ref="A29:B29"/>
    <mergeCell ref="A30:B30"/>
    <mergeCell ref="A31:B31"/>
    <mergeCell ref="A32:B32"/>
    <mergeCell ref="A33:B33"/>
    <mergeCell ref="A34:B34"/>
    <mergeCell ref="A35:B35"/>
    <mergeCell ref="A36:B36"/>
    <mergeCell ref="A25:B25"/>
    <mergeCell ref="C25:D25"/>
    <mergeCell ref="A21:F21"/>
    <mergeCell ref="A22:B24"/>
    <mergeCell ref="C22:D23"/>
    <mergeCell ref="E22:G22"/>
    <mergeCell ref="B15:C15"/>
    <mergeCell ref="B16:C16"/>
    <mergeCell ref="B17:C17"/>
    <mergeCell ref="B18:C18"/>
    <mergeCell ref="B19:C19"/>
    <mergeCell ref="A20:G20"/>
    <mergeCell ref="A3:D3"/>
    <mergeCell ref="A4:D4"/>
    <mergeCell ref="B6:C6"/>
    <mergeCell ref="B7:C7"/>
    <mergeCell ref="B8:C8"/>
    <mergeCell ref="B14:C14"/>
    <mergeCell ref="B9:C9"/>
    <mergeCell ref="B10:C10"/>
    <mergeCell ref="B11:C11"/>
    <mergeCell ref="B12:C12"/>
    <mergeCell ref="B13:C13"/>
  </mergeCells>
  <phoneticPr fontId="19"/>
  <printOptions horizontalCentered="1"/>
  <pageMargins left="0.59055118110236227" right="0.59055118110236227" top="0.59055118110236227" bottom="0.59055118110236227" header="0.39370078740157483" footer="0.39370078740157483"/>
  <pageSetup paperSize="9" firstPageNumber="0" orientation="portrait" r:id="rId1"/>
  <headerFooter scaleWithDoc="0" alignWithMargins="0">
    <oddHeader>&amp;L&amp;"ＭＳ 明朝,標準"&amp;10人　口</oddHeader>
    <oddFooter>&amp;C&amp;"ＭＳ 明朝,標準"&amp;12&amp;A</oddFooter>
  </headerFooter>
  <colBreaks count="1" manualBreakCount="1">
    <brk id="12" max="1048575" man="1"/>
  </colBreaks>
  <ignoredErrors>
    <ignoredError sqref="H41" formula="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view="pageBreakPreview" zoomScale="120" zoomScaleNormal="120" zoomScaleSheetLayoutView="120" workbookViewId="0">
      <selection activeCell="E4" sqref="E4"/>
    </sheetView>
  </sheetViews>
  <sheetFormatPr defaultRowHeight="15.95" customHeight="1"/>
  <cols>
    <col min="1" max="1" width="1.25" style="122" customWidth="1"/>
    <col min="2" max="2" width="8.625" style="122" customWidth="1"/>
    <col min="3" max="3" width="7.375" style="122" customWidth="1"/>
    <col min="4" max="4" width="7.625" style="513" customWidth="1"/>
    <col min="5" max="5" width="7.625" style="122" customWidth="1"/>
    <col min="6" max="6" width="7.625" style="513" customWidth="1"/>
    <col min="7" max="7" width="7.625" style="122" customWidth="1"/>
    <col min="8" max="8" width="1.25" style="122" customWidth="1"/>
    <col min="9" max="9" width="8.625" style="122" customWidth="1"/>
    <col min="10" max="10" width="6.25" style="122" customWidth="1"/>
    <col min="11" max="11" width="7.125" style="513" customWidth="1"/>
    <col min="12" max="12" width="6.375" style="122" customWidth="1"/>
    <col min="13" max="13" width="7.125" style="513" customWidth="1"/>
    <col min="14" max="14" width="7.5" style="122" customWidth="1"/>
    <col min="15" max="16384" width="9" style="122"/>
  </cols>
  <sheetData>
    <row r="1" spans="1:15" ht="5.0999999999999996" customHeight="1">
      <c r="B1" s="14"/>
      <c r="C1" s="14"/>
      <c r="D1" s="505"/>
      <c r="E1" s="14"/>
      <c r="F1" s="505"/>
      <c r="G1" s="14"/>
      <c r="H1" s="14"/>
      <c r="I1" s="14"/>
      <c r="J1" s="14"/>
      <c r="K1" s="505"/>
      <c r="L1" s="14"/>
      <c r="M1" s="505"/>
      <c r="N1" s="16"/>
    </row>
    <row r="2" spans="1:15" ht="15" customHeight="1" thickBot="1">
      <c r="A2" s="898" t="s">
        <v>626</v>
      </c>
      <c r="B2" s="898"/>
      <c r="C2" s="898"/>
      <c r="D2" s="898"/>
      <c r="E2" s="898"/>
      <c r="F2" s="898"/>
      <c r="G2" s="898"/>
      <c r="H2" s="898"/>
      <c r="I2" s="898"/>
      <c r="J2" s="14"/>
      <c r="K2" s="505"/>
      <c r="L2" s="14"/>
      <c r="M2" s="505"/>
      <c r="N2" s="16" t="s">
        <v>200</v>
      </c>
    </row>
    <row r="3" spans="1:15" s="506" customFormat="1" ht="20.25" customHeight="1">
      <c r="A3" s="856" t="s">
        <v>201</v>
      </c>
      <c r="B3" s="858"/>
      <c r="C3" s="502" t="s">
        <v>421</v>
      </c>
      <c r="D3" s="126" t="s">
        <v>202</v>
      </c>
      <c r="E3" s="502" t="s">
        <v>559</v>
      </c>
      <c r="F3" s="126" t="s">
        <v>202</v>
      </c>
      <c r="G3" s="127" t="s">
        <v>188</v>
      </c>
      <c r="H3" s="846" t="s">
        <v>201</v>
      </c>
      <c r="I3" s="858"/>
      <c r="J3" s="502" t="s">
        <v>560</v>
      </c>
      <c r="K3" s="126" t="s">
        <v>202</v>
      </c>
      <c r="L3" s="502" t="s">
        <v>559</v>
      </c>
      <c r="M3" s="126" t="s">
        <v>202</v>
      </c>
      <c r="N3" s="128" t="s">
        <v>188</v>
      </c>
    </row>
    <row r="4" spans="1:15" s="508" customFormat="1" ht="17.25" customHeight="1">
      <c r="A4" s="901" t="s">
        <v>203</v>
      </c>
      <c r="B4" s="902"/>
      <c r="C4" s="462">
        <f>SUM(C6:C15,C18:C31,J4:J19)</f>
        <v>3842</v>
      </c>
      <c r="D4" s="252">
        <f>SUM(D6:D15,D18:D31,K4:K19)</f>
        <v>1.0000000000000002</v>
      </c>
      <c r="E4" s="463">
        <f>SUM(E6:E15,E18:E31,L4:L19)</f>
        <v>3978</v>
      </c>
      <c r="F4" s="252">
        <f>SUM(F6:F15,F18:F31,M4:M19)</f>
        <v>0.99999999999999989</v>
      </c>
      <c r="G4" s="253">
        <f>SUM(G6:G15,G18:G31,N4:N19)</f>
        <v>-136</v>
      </c>
      <c r="H4" s="264"/>
      <c r="I4" s="262" t="s">
        <v>204</v>
      </c>
      <c r="J4" s="775">
        <v>136</v>
      </c>
      <c r="K4" s="776">
        <f t="shared" ref="K4:K19" si="0">J4/$C$4</f>
        <v>3.5398230088495575E-2</v>
      </c>
      <c r="L4" s="777">
        <v>210</v>
      </c>
      <c r="M4" s="258">
        <f>L4/$E$4</f>
        <v>5.2790346907993967E-2</v>
      </c>
      <c r="N4" s="206">
        <f>J4-L4</f>
        <v>-74</v>
      </c>
      <c r="O4" s="507"/>
    </row>
    <row r="5" spans="1:15" s="510" customFormat="1" ht="17.25" customHeight="1">
      <c r="A5" s="509"/>
      <c r="B5" s="262"/>
      <c r="C5" s="118"/>
      <c r="D5" s="248"/>
      <c r="E5" s="251"/>
      <c r="F5" s="248"/>
      <c r="G5" s="254"/>
      <c r="H5" s="265"/>
      <c r="I5" s="262" t="s">
        <v>205</v>
      </c>
      <c r="J5" s="769">
        <v>55</v>
      </c>
      <c r="K5" s="770">
        <f t="shared" si="0"/>
        <v>1.4315460697553357E-2</v>
      </c>
      <c r="L5" s="771">
        <v>51</v>
      </c>
      <c r="M5" s="248">
        <f t="shared" ref="M5:M19" si="1">L5/$E$4</f>
        <v>1.282051282051282E-2</v>
      </c>
      <c r="N5" s="206">
        <f t="shared" ref="N5:N19" si="2">J5-L5</f>
        <v>4</v>
      </c>
    </row>
    <row r="6" spans="1:15" s="510" customFormat="1" ht="17.25" customHeight="1">
      <c r="A6" s="509"/>
      <c r="B6" s="262" t="s">
        <v>206</v>
      </c>
      <c r="C6" s="769">
        <v>1418</v>
      </c>
      <c r="D6" s="770">
        <f>C6/$C$4</f>
        <v>0.36907860489328476</v>
      </c>
      <c r="E6" s="771">
        <v>1206</v>
      </c>
      <c r="F6" s="248">
        <f>E6/$E$4</f>
        <v>0.30316742081447962</v>
      </c>
      <c r="G6" s="254">
        <f>C6-E6</f>
        <v>212</v>
      </c>
      <c r="H6" s="265"/>
      <c r="I6" s="262" t="s">
        <v>207</v>
      </c>
      <c r="J6" s="769">
        <v>44</v>
      </c>
      <c r="K6" s="770">
        <f t="shared" si="0"/>
        <v>1.1452368558042686E-2</v>
      </c>
      <c r="L6" s="771">
        <v>71</v>
      </c>
      <c r="M6" s="248">
        <f t="shared" si="1"/>
        <v>1.7848164906988435E-2</v>
      </c>
      <c r="N6" s="206">
        <f t="shared" si="2"/>
        <v>-27</v>
      </c>
    </row>
    <row r="7" spans="1:15" s="510" customFormat="1" ht="17.25" customHeight="1">
      <c r="A7" s="509"/>
      <c r="B7" s="262" t="s">
        <v>208</v>
      </c>
      <c r="C7" s="769">
        <v>135</v>
      </c>
      <c r="D7" s="770">
        <f t="shared" ref="D7:D15" si="3">C7/$C$4</f>
        <v>3.5137948984903696E-2</v>
      </c>
      <c r="E7" s="771">
        <v>132</v>
      </c>
      <c r="F7" s="248">
        <f t="shared" ref="F7:F15" si="4">E7/$E$4</f>
        <v>3.3182503770739065E-2</v>
      </c>
      <c r="G7" s="254">
        <f t="shared" ref="G7:G15" si="5">C7-E7</f>
        <v>3</v>
      </c>
      <c r="H7" s="265"/>
      <c r="I7" s="262" t="s">
        <v>209</v>
      </c>
      <c r="J7" s="769">
        <v>75</v>
      </c>
      <c r="K7" s="770">
        <f t="shared" si="0"/>
        <v>1.9521082769390942E-2</v>
      </c>
      <c r="L7" s="771">
        <v>122</v>
      </c>
      <c r="M7" s="248">
        <f t="shared" si="1"/>
        <v>3.0668677727501256E-2</v>
      </c>
      <c r="N7" s="206">
        <f t="shared" si="2"/>
        <v>-47</v>
      </c>
    </row>
    <row r="8" spans="1:15" s="510" customFormat="1" ht="17.25" customHeight="1">
      <c r="A8" s="509"/>
      <c r="B8" s="262" t="s">
        <v>210</v>
      </c>
      <c r="C8" s="769">
        <v>162</v>
      </c>
      <c r="D8" s="770">
        <f t="shared" si="3"/>
        <v>4.2165538781884435E-2</v>
      </c>
      <c r="E8" s="771">
        <v>137</v>
      </c>
      <c r="F8" s="248">
        <f t="shared" si="4"/>
        <v>3.4439416792357971E-2</v>
      </c>
      <c r="G8" s="254">
        <f t="shared" si="5"/>
        <v>25</v>
      </c>
      <c r="H8" s="265"/>
      <c r="I8" s="262" t="s">
        <v>211</v>
      </c>
      <c r="J8" s="769">
        <v>29</v>
      </c>
      <c r="K8" s="770">
        <f t="shared" si="0"/>
        <v>7.5481520041644976E-3</v>
      </c>
      <c r="L8" s="771">
        <v>33</v>
      </c>
      <c r="M8" s="248">
        <f t="shared" si="1"/>
        <v>8.2956259426847662E-3</v>
      </c>
      <c r="N8" s="206">
        <f t="shared" si="2"/>
        <v>-4</v>
      </c>
    </row>
    <row r="9" spans="1:15" s="510" customFormat="1" ht="17.25" customHeight="1">
      <c r="A9" s="509"/>
      <c r="B9" s="262" t="s">
        <v>212</v>
      </c>
      <c r="C9" s="769">
        <v>648</v>
      </c>
      <c r="D9" s="770">
        <f t="shared" si="3"/>
        <v>0.16866215512753774</v>
      </c>
      <c r="E9" s="771">
        <v>732</v>
      </c>
      <c r="F9" s="248">
        <f t="shared" si="4"/>
        <v>0.18401206636500755</v>
      </c>
      <c r="G9" s="254">
        <f t="shared" si="5"/>
        <v>-84</v>
      </c>
      <c r="H9" s="265"/>
      <c r="I9" s="262" t="s">
        <v>213</v>
      </c>
      <c r="J9" s="769">
        <v>5</v>
      </c>
      <c r="K9" s="770">
        <f t="shared" si="0"/>
        <v>1.3014055179593961E-3</v>
      </c>
      <c r="L9" s="771">
        <v>6</v>
      </c>
      <c r="M9" s="248">
        <f t="shared" si="1"/>
        <v>1.5082956259426848E-3</v>
      </c>
      <c r="N9" s="206">
        <f t="shared" si="2"/>
        <v>-1</v>
      </c>
    </row>
    <row r="10" spans="1:15" s="510" customFormat="1" ht="17.25" customHeight="1">
      <c r="A10" s="509"/>
      <c r="B10" s="262" t="s">
        <v>214</v>
      </c>
      <c r="C10" s="769">
        <v>89</v>
      </c>
      <c r="D10" s="770">
        <f t="shared" si="3"/>
        <v>2.3165018219677251E-2</v>
      </c>
      <c r="E10" s="771">
        <v>104</v>
      </c>
      <c r="F10" s="248">
        <f t="shared" si="4"/>
        <v>2.6143790849673203E-2</v>
      </c>
      <c r="G10" s="254">
        <f t="shared" si="5"/>
        <v>-15</v>
      </c>
      <c r="H10" s="265"/>
      <c r="I10" s="262" t="s">
        <v>215</v>
      </c>
      <c r="J10" s="769">
        <v>7</v>
      </c>
      <c r="K10" s="770">
        <f t="shared" si="0"/>
        <v>1.8219677251431546E-3</v>
      </c>
      <c r="L10" s="771">
        <v>6</v>
      </c>
      <c r="M10" s="248">
        <f t="shared" si="1"/>
        <v>1.5082956259426848E-3</v>
      </c>
      <c r="N10" s="206">
        <f t="shared" si="2"/>
        <v>1</v>
      </c>
    </row>
    <row r="11" spans="1:15" s="510" customFormat="1" ht="17.25" customHeight="1">
      <c r="A11" s="509"/>
      <c r="B11" s="262" t="s">
        <v>216</v>
      </c>
      <c r="C11" s="769">
        <v>150</v>
      </c>
      <c r="D11" s="770">
        <f t="shared" si="3"/>
        <v>3.9042165538781884E-2</v>
      </c>
      <c r="E11" s="771">
        <v>141</v>
      </c>
      <c r="F11" s="248">
        <f t="shared" si="4"/>
        <v>3.5444947209653091E-2</v>
      </c>
      <c r="G11" s="254">
        <f t="shared" si="5"/>
        <v>9</v>
      </c>
      <c r="H11" s="265"/>
      <c r="I11" s="262" t="s">
        <v>217</v>
      </c>
      <c r="J11" s="769">
        <v>3</v>
      </c>
      <c r="K11" s="770">
        <f t="shared" si="0"/>
        <v>7.8084331077563768E-4</v>
      </c>
      <c r="L11" s="771">
        <v>3</v>
      </c>
      <c r="M11" s="248">
        <f t="shared" si="1"/>
        <v>7.5414781297134241E-4</v>
      </c>
      <c r="N11" s="206">
        <f t="shared" si="2"/>
        <v>0</v>
      </c>
    </row>
    <row r="12" spans="1:15" s="510" customFormat="1" ht="17.25" customHeight="1">
      <c r="A12" s="509"/>
      <c r="B12" s="262" t="s">
        <v>218</v>
      </c>
      <c r="C12" s="769">
        <v>124</v>
      </c>
      <c r="D12" s="770">
        <f t="shared" si="3"/>
        <v>3.2274856845393024E-2</v>
      </c>
      <c r="E12" s="771">
        <v>143</v>
      </c>
      <c r="F12" s="248">
        <f t="shared" si="4"/>
        <v>3.5947712418300651E-2</v>
      </c>
      <c r="G12" s="254">
        <f t="shared" si="5"/>
        <v>-19</v>
      </c>
      <c r="H12" s="265"/>
      <c r="I12" s="262" t="s">
        <v>219</v>
      </c>
      <c r="J12" s="769">
        <v>1</v>
      </c>
      <c r="K12" s="770">
        <f t="shared" si="0"/>
        <v>2.6028110359187923E-4</v>
      </c>
      <c r="L12" s="771">
        <v>1</v>
      </c>
      <c r="M12" s="248">
        <f t="shared" si="1"/>
        <v>2.5138260432378077E-4</v>
      </c>
      <c r="N12" s="206">
        <f t="shared" si="2"/>
        <v>0</v>
      </c>
    </row>
    <row r="13" spans="1:15" s="510" customFormat="1" ht="17.25" customHeight="1">
      <c r="A13" s="509"/>
      <c r="B13" s="262" t="s">
        <v>220</v>
      </c>
      <c r="C13" s="769">
        <v>90</v>
      </c>
      <c r="D13" s="770">
        <f t="shared" si="3"/>
        <v>2.342529932326913E-2</v>
      </c>
      <c r="E13" s="771">
        <v>92</v>
      </c>
      <c r="F13" s="248">
        <f t="shared" si="4"/>
        <v>2.3127199597787834E-2</v>
      </c>
      <c r="G13" s="254">
        <f t="shared" si="5"/>
        <v>-2</v>
      </c>
      <c r="H13" s="265"/>
      <c r="I13" s="262" t="s">
        <v>221</v>
      </c>
      <c r="J13" s="769">
        <v>8</v>
      </c>
      <c r="K13" s="770">
        <f t="shared" si="0"/>
        <v>2.0822488287350338E-3</v>
      </c>
      <c r="L13" s="771">
        <v>7</v>
      </c>
      <c r="M13" s="248">
        <f t="shared" si="1"/>
        <v>1.7596782302664656E-3</v>
      </c>
      <c r="N13" s="206">
        <f t="shared" si="2"/>
        <v>1</v>
      </c>
    </row>
    <row r="14" spans="1:15" s="510" customFormat="1" ht="17.25" customHeight="1">
      <c r="A14" s="509"/>
      <c r="B14" s="262" t="s">
        <v>222</v>
      </c>
      <c r="C14" s="769">
        <v>183</v>
      </c>
      <c r="D14" s="770">
        <f t="shared" si="3"/>
        <v>4.7631441957313898E-2</v>
      </c>
      <c r="E14" s="771">
        <v>222</v>
      </c>
      <c r="F14" s="248">
        <f t="shared" si="4"/>
        <v>5.5806938159879339E-2</v>
      </c>
      <c r="G14" s="254">
        <f t="shared" si="5"/>
        <v>-39</v>
      </c>
      <c r="H14" s="265"/>
      <c r="I14" s="262" t="s">
        <v>223</v>
      </c>
      <c r="J14" s="769">
        <v>5</v>
      </c>
      <c r="K14" s="770">
        <f t="shared" si="0"/>
        <v>1.3014055179593961E-3</v>
      </c>
      <c r="L14" s="771">
        <v>5</v>
      </c>
      <c r="M14" s="248">
        <f t="shared" si="1"/>
        <v>1.2569130216189041E-3</v>
      </c>
      <c r="N14" s="206">
        <f t="shared" si="2"/>
        <v>0</v>
      </c>
    </row>
    <row r="15" spans="1:15" s="510" customFormat="1" ht="17.25" customHeight="1">
      <c r="A15" s="509"/>
      <c r="B15" s="262" t="s">
        <v>224</v>
      </c>
      <c r="C15" s="769">
        <v>121</v>
      </c>
      <c r="D15" s="770">
        <f t="shared" si="3"/>
        <v>3.1494013534617386E-2</v>
      </c>
      <c r="E15" s="771">
        <v>121</v>
      </c>
      <c r="F15" s="248">
        <f t="shared" si="4"/>
        <v>3.0417295123177476E-2</v>
      </c>
      <c r="G15" s="254">
        <f t="shared" si="5"/>
        <v>0</v>
      </c>
      <c r="H15" s="264"/>
      <c r="I15" s="262" t="s">
        <v>225</v>
      </c>
      <c r="J15" s="769">
        <v>11</v>
      </c>
      <c r="K15" s="770">
        <f t="shared" si="0"/>
        <v>2.8630921395106715E-3</v>
      </c>
      <c r="L15" s="771">
        <v>6</v>
      </c>
      <c r="M15" s="248">
        <f t="shared" si="1"/>
        <v>1.5082956259426848E-3</v>
      </c>
      <c r="N15" s="206">
        <f t="shared" si="2"/>
        <v>5</v>
      </c>
    </row>
    <row r="16" spans="1:15" s="510" customFormat="1" ht="17.25" customHeight="1">
      <c r="A16" s="903" t="s">
        <v>226</v>
      </c>
      <c r="B16" s="904"/>
      <c r="C16" s="116">
        <f>SUM(C6:C15)</f>
        <v>3120</v>
      </c>
      <c r="D16" s="247">
        <f>SUM(D6:D15)</f>
        <v>0.81207704320666307</v>
      </c>
      <c r="E16" s="250">
        <f>SUM(E6:E15)</f>
        <v>3030</v>
      </c>
      <c r="F16" s="247">
        <f>SUM(F6:F15)</f>
        <v>0.76168929110105588</v>
      </c>
      <c r="G16" s="253">
        <f>SUM(G6:G15)</f>
        <v>90</v>
      </c>
      <c r="H16" s="264"/>
      <c r="I16" s="262" t="s">
        <v>227</v>
      </c>
      <c r="J16" s="769">
        <v>11</v>
      </c>
      <c r="K16" s="770">
        <f t="shared" si="0"/>
        <v>2.8630921395106715E-3</v>
      </c>
      <c r="L16" s="771">
        <v>3</v>
      </c>
      <c r="M16" s="248">
        <f t="shared" si="1"/>
        <v>7.5414781297134241E-4</v>
      </c>
      <c r="N16" s="206">
        <f t="shared" si="2"/>
        <v>8</v>
      </c>
    </row>
    <row r="17" spans="1:14" s="510" customFormat="1" ht="17.25" customHeight="1">
      <c r="A17" s="509"/>
      <c r="B17" s="547"/>
      <c r="C17" s="116"/>
      <c r="D17" s="247"/>
      <c r="E17" s="250"/>
      <c r="F17" s="247"/>
      <c r="G17" s="253"/>
      <c r="H17" s="265"/>
      <c r="I17" s="262" t="s">
        <v>228</v>
      </c>
      <c r="J17" s="769">
        <v>7</v>
      </c>
      <c r="K17" s="770">
        <f t="shared" si="0"/>
        <v>1.8219677251431546E-3</v>
      </c>
      <c r="L17" s="771">
        <v>10</v>
      </c>
      <c r="M17" s="248">
        <f t="shared" si="1"/>
        <v>2.5138260432378081E-3</v>
      </c>
      <c r="N17" s="206">
        <f t="shared" si="2"/>
        <v>-3</v>
      </c>
    </row>
    <row r="18" spans="1:14" s="510" customFormat="1" ht="17.25" customHeight="1">
      <c r="A18" s="509"/>
      <c r="B18" s="262" t="s">
        <v>229</v>
      </c>
      <c r="C18" s="769">
        <v>5</v>
      </c>
      <c r="D18" s="770">
        <f t="shared" ref="D18:D31" si="6">C18/$C$4</f>
        <v>1.3014055179593961E-3</v>
      </c>
      <c r="E18" s="771">
        <v>13</v>
      </c>
      <c r="F18" s="248">
        <f t="shared" ref="F18:F31" si="7">E18/$E$4</f>
        <v>3.2679738562091504E-3</v>
      </c>
      <c r="G18" s="254">
        <f t="shared" ref="G18:G31" si="8">C18-E18</f>
        <v>-8</v>
      </c>
      <c r="H18" s="265"/>
      <c r="I18" s="262" t="s">
        <v>230</v>
      </c>
      <c r="J18" s="769">
        <v>4</v>
      </c>
      <c r="K18" s="770">
        <f t="shared" si="0"/>
        <v>1.0411244143675169E-3</v>
      </c>
      <c r="L18" s="771">
        <v>17</v>
      </c>
      <c r="M18" s="248">
        <f t="shared" si="1"/>
        <v>4.2735042735042739E-3</v>
      </c>
      <c r="N18" s="206">
        <f t="shared" si="2"/>
        <v>-13</v>
      </c>
    </row>
    <row r="19" spans="1:14" s="510" customFormat="1" ht="17.25" customHeight="1">
      <c r="A19" s="509"/>
      <c r="B19" s="262" t="s">
        <v>231</v>
      </c>
      <c r="C19" s="769">
        <v>2</v>
      </c>
      <c r="D19" s="770">
        <f t="shared" si="6"/>
        <v>5.2056220718375845E-4</v>
      </c>
      <c r="E19" s="771">
        <v>1</v>
      </c>
      <c r="F19" s="248">
        <f t="shared" si="7"/>
        <v>2.5138260432378077E-4</v>
      </c>
      <c r="G19" s="254">
        <f t="shared" si="8"/>
        <v>1</v>
      </c>
      <c r="H19" s="265"/>
      <c r="I19" s="262" t="s">
        <v>232</v>
      </c>
      <c r="J19" s="769">
        <v>7</v>
      </c>
      <c r="K19" s="770">
        <f t="shared" si="0"/>
        <v>1.8219677251431546E-3</v>
      </c>
      <c r="L19" s="771">
        <v>7</v>
      </c>
      <c r="M19" s="248">
        <f t="shared" si="1"/>
        <v>1.7596782302664656E-3</v>
      </c>
      <c r="N19" s="206">
        <f t="shared" si="2"/>
        <v>0</v>
      </c>
    </row>
    <row r="20" spans="1:14" s="510" customFormat="1" ht="17.25" customHeight="1">
      <c r="A20" s="509"/>
      <c r="B20" s="262" t="s">
        <v>233</v>
      </c>
      <c r="C20" s="769">
        <v>3</v>
      </c>
      <c r="D20" s="770">
        <f t="shared" si="6"/>
        <v>7.8084331077563768E-4</v>
      </c>
      <c r="E20" s="771">
        <v>5</v>
      </c>
      <c r="F20" s="248">
        <f t="shared" si="7"/>
        <v>1.2569130216189041E-3</v>
      </c>
      <c r="G20" s="254">
        <f t="shared" si="8"/>
        <v>-2</v>
      </c>
      <c r="H20" s="899" t="s">
        <v>234</v>
      </c>
      <c r="I20" s="900"/>
      <c r="J20" s="116">
        <f>SUM(C18:C31,J4:J19)</f>
        <v>722</v>
      </c>
      <c r="K20" s="247">
        <f>SUM(D18:D31,K4:K19)</f>
        <v>0.18792295679333679</v>
      </c>
      <c r="L20" s="250">
        <f>SUM(E18:E31,L4:L19)</f>
        <v>948</v>
      </c>
      <c r="M20" s="247">
        <f>SUM(F18:F31,M4:M19)</f>
        <v>0.23831070889894418</v>
      </c>
      <c r="N20" s="259">
        <f>SUM(G18:G31,N4:N19)</f>
        <v>-226</v>
      </c>
    </row>
    <row r="21" spans="1:14" s="510" customFormat="1" ht="17.25" customHeight="1">
      <c r="A21" s="509"/>
      <c r="B21" s="262" t="s">
        <v>235</v>
      </c>
      <c r="C21" s="769">
        <v>4</v>
      </c>
      <c r="D21" s="770">
        <f t="shared" si="6"/>
        <v>1.0411244143675169E-3</v>
      </c>
      <c r="E21" s="771">
        <v>12</v>
      </c>
      <c r="F21" s="248">
        <f t="shared" si="7"/>
        <v>3.0165912518853697E-3</v>
      </c>
      <c r="G21" s="254">
        <f t="shared" si="8"/>
        <v>-8</v>
      </c>
      <c r="H21" s="119"/>
      <c r="I21" s="117"/>
      <c r="J21" s="118"/>
      <c r="K21" s="248"/>
      <c r="L21" s="251"/>
      <c r="M21" s="248"/>
      <c r="N21" s="260"/>
    </row>
    <row r="22" spans="1:14" s="510" customFormat="1" ht="17.25" customHeight="1">
      <c r="A22" s="509"/>
      <c r="B22" s="262" t="s">
        <v>236</v>
      </c>
      <c r="C22" s="769">
        <v>17</v>
      </c>
      <c r="D22" s="770">
        <f t="shared" si="6"/>
        <v>4.4247787610619468E-3</v>
      </c>
      <c r="E22" s="771">
        <v>24</v>
      </c>
      <c r="F22" s="248">
        <f t="shared" si="7"/>
        <v>6.0331825037707393E-3</v>
      </c>
      <c r="G22" s="254">
        <f t="shared" si="8"/>
        <v>-7</v>
      </c>
      <c r="H22" s="119"/>
      <c r="I22" s="117"/>
      <c r="J22" s="118"/>
      <c r="K22" s="248"/>
      <c r="L22" s="251"/>
      <c r="M22" s="248"/>
      <c r="N22" s="260"/>
    </row>
    <row r="23" spans="1:14" s="510" customFormat="1" ht="17.25" customHeight="1">
      <c r="A23" s="509"/>
      <c r="B23" s="262" t="s">
        <v>237</v>
      </c>
      <c r="C23" s="769">
        <v>21</v>
      </c>
      <c r="D23" s="770">
        <f t="shared" si="6"/>
        <v>5.4659031754294637E-3</v>
      </c>
      <c r="E23" s="771">
        <v>15</v>
      </c>
      <c r="F23" s="248">
        <f t="shared" si="7"/>
        <v>3.770739064856712E-3</v>
      </c>
      <c r="G23" s="254">
        <f t="shared" si="8"/>
        <v>6</v>
      </c>
      <c r="H23" s="119"/>
      <c r="I23" s="117"/>
      <c r="J23" s="118"/>
      <c r="K23" s="248"/>
      <c r="L23" s="251"/>
      <c r="M23" s="248"/>
      <c r="N23" s="260"/>
    </row>
    <row r="24" spans="1:14" s="510" customFormat="1" ht="17.25" customHeight="1">
      <c r="A24" s="509"/>
      <c r="B24" s="262" t="s">
        <v>238</v>
      </c>
      <c r="C24" s="769">
        <v>8</v>
      </c>
      <c r="D24" s="770">
        <f t="shared" si="6"/>
        <v>2.0822488287350338E-3</v>
      </c>
      <c r="E24" s="771">
        <v>13</v>
      </c>
      <c r="F24" s="248">
        <f t="shared" si="7"/>
        <v>3.2679738562091504E-3</v>
      </c>
      <c r="G24" s="254">
        <f t="shared" si="8"/>
        <v>-5</v>
      </c>
      <c r="H24" s="119"/>
      <c r="I24" s="117"/>
      <c r="J24" s="118"/>
      <c r="K24" s="248"/>
      <c r="L24" s="251"/>
      <c r="M24" s="248"/>
      <c r="N24" s="260"/>
    </row>
    <row r="25" spans="1:14" s="510" customFormat="1" ht="17.25" customHeight="1">
      <c r="A25" s="509"/>
      <c r="B25" s="262" t="s">
        <v>239</v>
      </c>
      <c r="C25" s="769">
        <v>7</v>
      </c>
      <c r="D25" s="770">
        <f t="shared" si="6"/>
        <v>1.8219677251431546E-3</v>
      </c>
      <c r="E25" s="771">
        <v>12</v>
      </c>
      <c r="F25" s="248">
        <f t="shared" si="7"/>
        <v>3.0165912518853697E-3</v>
      </c>
      <c r="G25" s="254">
        <f t="shared" si="8"/>
        <v>-5</v>
      </c>
      <c r="H25" s="119"/>
      <c r="I25" s="117"/>
      <c r="J25" s="118"/>
      <c r="K25" s="248"/>
      <c r="L25" s="251"/>
      <c r="M25" s="248"/>
      <c r="N25" s="260"/>
    </row>
    <row r="26" spans="1:14" s="510" customFormat="1" ht="17.25" customHeight="1">
      <c r="A26" s="509"/>
      <c r="B26" s="262" t="s">
        <v>240</v>
      </c>
      <c r="C26" s="769">
        <v>8</v>
      </c>
      <c r="D26" s="770">
        <f t="shared" si="6"/>
        <v>2.0822488287350338E-3</v>
      </c>
      <c r="E26" s="771">
        <v>7</v>
      </c>
      <c r="F26" s="248">
        <f t="shared" si="7"/>
        <v>1.7596782302664656E-3</v>
      </c>
      <c r="G26" s="254">
        <f t="shared" si="8"/>
        <v>1</v>
      </c>
      <c r="H26" s="119"/>
      <c r="I26" s="117"/>
      <c r="J26" s="118"/>
      <c r="K26" s="248"/>
      <c r="L26" s="251"/>
      <c r="M26" s="248"/>
      <c r="N26" s="260"/>
    </row>
    <row r="27" spans="1:14" s="510" customFormat="1" ht="17.25" customHeight="1">
      <c r="A27" s="509"/>
      <c r="B27" s="262" t="s">
        <v>241</v>
      </c>
      <c r="C27" s="769">
        <v>57</v>
      </c>
      <c r="D27" s="770">
        <f t="shared" si="6"/>
        <v>1.4836022904737116E-2</v>
      </c>
      <c r="E27" s="771">
        <v>77</v>
      </c>
      <c r="F27" s="248">
        <f t="shared" si="7"/>
        <v>1.9356460532931122E-2</v>
      </c>
      <c r="G27" s="254">
        <f t="shared" si="8"/>
        <v>-20</v>
      </c>
      <c r="H27" s="120"/>
      <c r="I27" s="117"/>
      <c r="J27" s="118"/>
      <c r="K27" s="248"/>
      <c r="L27" s="251"/>
      <c r="M27" s="248"/>
      <c r="N27" s="260"/>
    </row>
    <row r="28" spans="1:14" s="510" customFormat="1" ht="17.25" customHeight="1">
      <c r="A28" s="509"/>
      <c r="B28" s="262" t="s">
        <v>242</v>
      </c>
      <c r="C28" s="769">
        <v>29</v>
      </c>
      <c r="D28" s="770">
        <f t="shared" si="6"/>
        <v>7.5481520041644976E-3</v>
      </c>
      <c r="E28" s="771">
        <v>7</v>
      </c>
      <c r="F28" s="248">
        <f t="shared" si="7"/>
        <v>1.7596782302664656E-3</v>
      </c>
      <c r="G28" s="254">
        <f t="shared" si="8"/>
        <v>22</v>
      </c>
      <c r="H28" s="119"/>
      <c r="I28" s="117"/>
      <c r="J28" s="118"/>
      <c r="K28" s="248"/>
      <c r="L28" s="251"/>
      <c r="M28" s="248"/>
      <c r="N28" s="260"/>
    </row>
    <row r="29" spans="1:14" s="510" customFormat="1" ht="17.25" customHeight="1">
      <c r="A29" s="509"/>
      <c r="B29" s="262" t="s">
        <v>243</v>
      </c>
      <c r="C29" s="769">
        <v>54</v>
      </c>
      <c r="D29" s="770">
        <f t="shared" si="6"/>
        <v>1.4055179593961478E-2</v>
      </c>
      <c r="E29" s="771">
        <v>58</v>
      </c>
      <c r="F29" s="248">
        <f t="shared" si="7"/>
        <v>1.4580191050779286E-2</v>
      </c>
      <c r="G29" s="254">
        <f t="shared" si="8"/>
        <v>-4</v>
      </c>
      <c r="H29" s="119"/>
      <c r="I29" s="109"/>
      <c r="J29" s="118"/>
      <c r="K29" s="248"/>
      <c r="L29" s="251"/>
      <c r="M29" s="248"/>
      <c r="N29" s="260"/>
    </row>
    <row r="30" spans="1:14" s="510" customFormat="1" ht="17.25" customHeight="1">
      <c r="A30" s="509"/>
      <c r="B30" s="262" t="s">
        <v>244</v>
      </c>
      <c r="C30" s="769">
        <v>33</v>
      </c>
      <c r="D30" s="770">
        <f t="shared" si="6"/>
        <v>8.5892764185320145E-3</v>
      </c>
      <c r="E30" s="771">
        <v>31</v>
      </c>
      <c r="F30" s="248">
        <f t="shared" si="7"/>
        <v>7.7928607340372047E-3</v>
      </c>
      <c r="G30" s="254">
        <f t="shared" si="8"/>
        <v>2</v>
      </c>
      <c r="H30" s="119"/>
      <c r="I30" s="117"/>
      <c r="J30" s="118"/>
      <c r="K30" s="248"/>
      <c r="L30" s="251"/>
      <c r="M30" s="248"/>
      <c r="N30" s="260"/>
    </row>
    <row r="31" spans="1:14" s="512" customFormat="1" ht="17.25" customHeight="1" thickBot="1">
      <c r="A31" s="511"/>
      <c r="B31" s="263" t="s">
        <v>245</v>
      </c>
      <c r="C31" s="772">
        <v>66</v>
      </c>
      <c r="D31" s="773">
        <f t="shared" si="6"/>
        <v>1.7178552837064029E-2</v>
      </c>
      <c r="E31" s="774">
        <v>115</v>
      </c>
      <c r="F31" s="249">
        <f t="shared" si="7"/>
        <v>2.8908999497234793E-2</v>
      </c>
      <c r="G31" s="255">
        <f t="shared" si="8"/>
        <v>-49</v>
      </c>
      <c r="H31" s="130"/>
      <c r="I31" s="131"/>
      <c r="J31" s="132"/>
      <c r="K31" s="256"/>
      <c r="L31" s="257"/>
      <c r="M31" s="256"/>
      <c r="N31" s="261"/>
    </row>
    <row r="32" spans="1:14" ht="13.5" customHeight="1">
      <c r="B32" s="14"/>
      <c r="C32" s="14"/>
      <c r="D32" s="505"/>
      <c r="E32" s="14"/>
      <c r="F32" s="505"/>
      <c r="G32" s="14"/>
      <c r="H32" s="14"/>
      <c r="I32" s="14"/>
      <c r="J32" s="14"/>
      <c r="K32" s="505"/>
      <c r="N32" s="16" t="s">
        <v>178</v>
      </c>
    </row>
    <row r="33" spans="1:16" ht="11.25" customHeight="1">
      <c r="B33" s="14"/>
      <c r="C33" s="14"/>
      <c r="D33" s="505"/>
      <c r="E33" s="14"/>
      <c r="F33" s="505"/>
      <c r="G33" s="14"/>
      <c r="H33" s="14"/>
      <c r="I33" s="14"/>
      <c r="J33" s="14"/>
      <c r="K33" s="505"/>
      <c r="L33" s="14"/>
      <c r="M33" s="505"/>
      <c r="N33" s="14"/>
    </row>
    <row r="34" spans="1:16" s="514" customFormat="1" ht="15.75" customHeight="1" thickBot="1">
      <c r="B34" s="245" t="s">
        <v>627</v>
      </c>
      <c r="D34" s="515"/>
      <c r="F34" s="515"/>
      <c r="K34" s="515"/>
      <c r="M34" s="515"/>
      <c r="N34" s="16" t="s">
        <v>200</v>
      </c>
    </row>
    <row r="35" spans="1:16" s="516" customFormat="1" ht="15.75" customHeight="1">
      <c r="A35" s="856" t="s">
        <v>561</v>
      </c>
      <c r="B35" s="846"/>
      <c r="C35" s="846"/>
      <c r="D35" s="846"/>
      <c r="E35" s="846"/>
      <c r="F35" s="846"/>
      <c r="G35" s="846"/>
      <c r="H35" s="829" t="s">
        <v>562</v>
      </c>
      <c r="I35" s="829"/>
      <c r="J35" s="829"/>
      <c r="K35" s="829"/>
      <c r="L35" s="829"/>
      <c r="M35" s="829"/>
      <c r="N35" s="905"/>
      <c r="P35" s="122"/>
    </row>
    <row r="36" spans="1:16" s="517" customFormat="1" ht="15.75" customHeight="1">
      <c r="A36" s="503"/>
      <c r="B36" s="124" t="s">
        <v>563</v>
      </c>
      <c r="C36" s="830" t="s">
        <v>564</v>
      </c>
      <c r="D36" s="830"/>
      <c r="E36" s="830" t="s">
        <v>565</v>
      </c>
      <c r="F36" s="830"/>
      <c r="G36" s="546" t="s">
        <v>202</v>
      </c>
      <c r="H36" s="546"/>
      <c r="I36" s="124" t="s">
        <v>566</v>
      </c>
      <c r="J36" s="830" t="s">
        <v>567</v>
      </c>
      <c r="K36" s="830"/>
      <c r="L36" s="830" t="s">
        <v>568</v>
      </c>
      <c r="M36" s="830"/>
      <c r="N36" s="266" t="s">
        <v>202</v>
      </c>
    </row>
    <row r="37" spans="1:16" s="518" customFormat="1" ht="16.5" customHeight="1">
      <c r="A37" s="910" t="s">
        <v>36</v>
      </c>
      <c r="B37" s="907"/>
      <c r="C37" s="909" t="s">
        <v>609</v>
      </c>
      <c r="D37" s="909"/>
      <c r="E37" s="908">
        <v>294</v>
      </c>
      <c r="F37" s="908"/>
      <c r="G37" s="114">
        <f t="shared" ref="G37:G48" si="9">E37/$E$49*100</f>
        <v>15.225271879854999</v>
      </c>
      <c r="H37" s="906" t="s">
        <v>36</v>
      </c>
      <c r="I37" s="907"/>
      <c r="J37" s="909" t="s">
        <v>609</v>
      </c>
      <c r="K37" s="909"/>
      <c r="L37" s="908">
        <v>389</v>
      </c>
      <c r="M37" s="908"/>
      <c r="N37" s="267">
        <f>L37/$L$49*100</f>
        <v>17.689859026830376</v>
      </c>
    </row>
    <row r="38" spans="1:16" s="518" customFormat="1" ht="16.5" customHeight="1">
      <c r="A38" s="888" t="s">
        <v>37</v>
      </c>
      <c r="B38" s="889"/>
      <c r="C38" s="895" t="s">
        <v>611</v>
      </c>
      <c r="D38" s="895"/>
      <c r="E38" s="893">
        <v>136</v>
      </c>
      <c r="F38" s="893"/>
      <c r="G38" s="114">
        <f t="shared" si="9"/>
        <v>7.0429829104091137</v>
      </c>
      <c r="H38" s="894" t="s">
        <v>37</v>
      </c>
      <c r="I38" s="889"/>
      <c r="J38" s="895" t="s">
        <v>612</v>
      </c>
      <c r="K38" s="895"/>
      <c r="L38" s="893">
        <v>305</v>
      </c>
      <c r="M38" s="893"/>
      <c r="N38" s="268">
        <f t="shared" ref="N38:N48" si="10">L38/$L$49*100</f>
        <v>13.86994088221919</v>
      </c>
    </row>
    <row r="39" spans="1:16" s="518" customFormat="1" ht="16.5" customHeight="1">
      <c r="A39" s="888" t="s">
        <v>38</v>
      </c>
      <c r="B39" s="889"/>
      <c r="C39" s="895" t="s">
        <v>612</v>
      </c>
      <c r="D39" s="895"/>
      <c r="E39" s="893">
        <v>115</v>
      </c>
      <c r="F39" s="893"/>
      <c r="G39" s="114">
        <f t="shared" si="9"/>
        <v>5.9554634904194721</v>
      </c>
      <c r="H39" s="894" t="s">
        <v>38</v>
      </c>
      <c r="I39" s="889"/>
      <c r="J39" s="895" t="s">
        <v>611</v>
      </c>
      <c r="K39" s="895"/>
      <c r="L39" s="893">
        <v>190</v>
      </c>
      <c r="M39" s="893"/>
      <c r="N39" s="268">
        <f t="shared" si="10"/>
        <v>8.6402910413824454</v>
      </c>
    </row>
    <row r="40" spans="1:16" s="518" customFormat="1" ht="16.5" customHeight="1">
      <c r="A40" s="888" t="s">
        <v>39</v>
      </c>
      <c r="B40" s="889"/>
      <c r="C40" s="895" t="s">
        <v>610</v>
      </c>
      <c r="D40" s="895"/>
      <c r="E40" s="893">
        <v>102</v>
      </c>
      <c r="F40" s="893"/>
      <c r="G40" s="114">
        <f t="shared" si="9"/>
        <v>5.2822371828068357</v>
      </c>
      <c r="H40" s="894" t="s">
        <v>39</v>
      </c>
      <c r="I40" s="889"/>
      <c r="J40" s="895" t="s">
        <v>610</v>
      </c>
      <c r="K40" s="895"/>
      <c r="L40" s="893">
        <v>160</v>
      </c>
      <c r="M40" s="893"/>
      <c r="N40" s="268">
        <f t="shared" si="10"/>
        <v>7.2760345611641659</v>
      </c>
    </row>
    <row r="41" spans="1:16" s="518" customFormat="1" ht="16.5" customHeight="1">
      <c r="A41" s="888" t="s">
        <v>44</v>
      </c>
      <c r="B41" s="889"/>
      <c r="C41" s="895" t="s">
        <v>613</v>
      </c>
      <c r="D41" s="895"/>
      <c r="E41" s="893">
        <v>93</v>
      </c>
      <c r="F41" s="893"/>
      <c r="G41" s="114">
        <f t="shared" si="9"/>
        <v>4.8161574313827034</v>
      </c>
      <c r="H41" s="894" t="s">
        <v>44</v>
      </c>
      <c r="I41" s="889"/>
      <c r="J41" s="895" t="s">
        <v>613</v>
      </c>
      <c r="K41" s="895"/>
      <c r="L41" s="893">
        <v>137</v>
      </c>
      <c r="M41" s="893"/>
      <c r="N41" s="268">
        <f t="shared" si="10"/>
        <v>6.2301045929968168</v>
      </c>
    </row>
    <row r="42" spans="1:16" s="518" customFormat="1" ht="16.5" customHeight="1">
      <c r="A42" s="888" t="s">
        <v>569</v>
      </c>
      <c r="B42" s="889"/>
      <c r="C42" s="895" t="s">
        <v>614</v>
      </c>
      <c r="D42" s="895"/>
      <c r="E42" s="893">
        <v>79</v>
      </c>
      <c r="F42" s="893"/>
      <c r="G42" s="114">
        <f t="shared" si="9"/>
        <v>4.0911444847229417</v>
      </c>
      <c r="H42" s="894" t="s">
        <v>45</v>
      </c>
      <c r="I42" s="889"/>
      <c r="J42" s="895" t="s">
        <v>614</v>
      </c>
      <c r="K42" s="895"/>
      <c r="L42" s="893">
        <v>100</v>
      </c>
      <c r="M42" s="893"/>
      <c r="N42" s="268">
        <f t="shared" si="10"/>
        <v>4.5475216007276034</v>
      </c>
    </row>
    <row r="43" spans="1:16" s="518" customFormat="1" ht="16.5" customHeight="1">
      <c r="A43" s="888" t="s">
        <v>46</v>
      </c>
      <c r="B43" s="889"/>
      <c r="C43" s="895" t="s">
        <v>615</v>
      </c>
      <c r="D43" s="895"/>
      <c r="E43" s="893">
        <v>75</v>
      </c>
      <c r="F43" s="893"/>
      <c r="G43" s="114">
        <f t="shared" si="9"/>
        <v>3.8839979285344386</v>
      </c>
      <c r="H43" s="894" t="s">
        <v>46</v>
      </c>
      <c r="I43" s="889"/>
      <c r="J43" s="895" t="s">
        <v>615</v>
      </c>
      <c r="K43" s="895"/>
      <c r="L43" s="893">
        <v>90</v>
      </c>
      <c r="M43" s="893"/>
      <c r="N43" s="268">
        <f t="shared" si="10"/>
        <v>4.0927694406548438</v>
      </c>
    </row>
    <row r="44" spans="1:16" s="518" customFormat="1" ht="16.5" customHeight="1">
      <c r="A44" s="888" t="s">
        <v>47</v>
      </c>
      <c r="B44" s="889"/>
      <c r="C44" s="895" t="s">
        <v>617</v>
      </c>
      <c r="D44" s="895"/>
      <c r="E44" s="893">
        <v>57</v>
      </c>
      <c r="F44" s="893"/>
      <c r="G44" s="114">
        <f t="shared" si="9"/>
        <v>2.9518384256861729</v>
      </c>
      <c r="H44" s="894" t="s">
        <v>47</v>
      </c>
      <c r="I44" s="889"/>
      <c r="J44" s="895" t="s">
        <v>617</v>
      </c>
      <c r="K44" s="895"/>
      <c r="L44" s="893">
        <v>73</v>
      </c>
      <c r="M44" s="893"/>
      <c r="N44" s="268">
        <f t="shared" si="10"/>
        <v>3.3196907685311507</v>
      </c>
    </row>
    <row r="45" spans="1:16" s="518" customFormat="1" ht="16.5" customHeight="1">
      <c r="A45" s="888" t="s">
        <v>48</v>
      </c>
      <c r="B45" s="889"/>
      <c r="C45" s="895" t="s">
        <v>616</v>
      </c>
      <c r="D45" s="895"/>
      <c r="E45" s="893">
        <v>44</v>
      </c>
      <c r="F45" s="893"/>
      <c r="G45" s="114">
        <f t="shared" si="9"/>
        <v>2.278612118073537</v>
      </c>
      <c r="H45" s="894" t="s">
        <v>48</v>
      </c>
      <c r="I45" s="889"/>
      <c r="J45" s="895" t="s">
        <v>618</v>
      </c>
      <c r="K45" s="895"/>
      <c r="L45" s="893">
        <v>45</v>
      </c>
      <c r="M45" s="893"/>
      <c r="N45" s="268">
        <f t="shared" si="10"/>
        <v>2.0463847203274219</v>
      </c>
    </row>
    <row r="46" spans="1:16" s="518" customFormat="1" ht="16.5" customHeight="1">
      <c r="A46" s="888">
        <v>10</v>
      </c>
      <c r="B46" s="889"/>
      <c r="C46" s="895" t="s">
        <v>619</v>
      </c>
      <c r="D46" s="895"/>
      <c r="E46" s="893">
        <v>29</v>
      </c>
      <c r="F46" s="893"/>
      <c r="G46" s="114">
        <f t="shared" si="9"/>
        <v>1.5018125323666496</v>
      </c>
      <c r="H46" s="894">
        <v>10</v>
      </c>
      <c r="I46" s="889"/>
      <c r="J46" s="895" t="s">
        <v>616</v>
      </c>
      <c r="K46" s="895"/>
      <c r="L46" s="893">
        <v>40</v>
      </c>
      <c r="M46" s="893"/>
      <c r="N46" s="268">
        <f t="shared" si="10"/>
        <v>1.8190086402910415</v>
      </c>
    </row>
    <row r="47" spans="1:16" s="518" customFormat="1" ht="16.5" customHeight="1">
      <c r="A47" s="519"/>
      <c r="B47" s="110"/>
      <c r="C47" s="890" t="s">
        <v>556</v>
      </c>
      <c r="D47" s="890"/>
      <c r="E47" s="893">
        <v>388</v>
      </c>
      <c r="F47" s="893"/>
      <c r="G47" s="114">
        <f t="shared" si="9"/>
        <v>20.093215950284826</v>
      </c>
      <c r="H47" s="111"/>
      <c r="I47" s="110"/>
      <c r="J47" s="890" t="s">
        <v>556</v>
      </c>
      <c r="K47" s="890"/>
      <c r="L47" s="893">
        <v>490</v>
      </c>
      <c r="M47" s="893"/>
      <c r="N47" s="268">
        <f t="shared" si="10"/>
        <v>22.282855843565258</v>
      </c>
    </row>
    <row r="48" spans="1:16" s="518" customFormat="1" ht="16.5" customHeight="1">
      <c r="A48" s="520"/>
      <c r="B48" s="112"/>
      <c r="C48" s="895" t="s">
        <v>247</v>
      </c>
      <c r="D48" s="895"/>
      <c r="E48" s="892">
        <v>519</v>
      </c>
      <c r="F48" s="892"/>
      <c r="G48" s="115">
        <f t="shared" si="9"/>
        <v>26.87726566545831</v>
      </c>
      <c r="H48" s="113"/>
      <c r="I48" s="112"/>
      <c r="J48" s="895" t="s">
        <v>247</v>
      </c>
      <c r="K48" s="895"/>
      <c r="L48" s="892">
        <v>180</v>
      </c>
      <c r="M48" s="892"/>
      <c r="N48" s="269">
        <f t="shared" si="10"/>
        <v>8.1855388813096877</v>
      </c>
    </row>
    <row r="49" spans="1:14" s="516" customFormat="1" ht="16.5" customHeight="1" thickBot="1">
      <c r="A49" s="896" t="s">
        <v>570</v>
      </c>
      <c r="B49" s="897"/>
      <c r="C49" s="897"/>
      <c r="D49" s="897"/>
      <c r="E49" s="891">
        <f>SUM(E37:F48)</f>
        <v>1931</v>
      </c>
      <c r="F49" s="891"/>
      <c r="G49" s="270">
        <f>SUM(G37:G48)</f>
        <v>100</v>
      </c>
      <c r="H49" s="897" t="s">
        <v>571</v>
      </c>
      <c r="I49" s="897"/>
      <c r="J49" s="897"/>
      <c r="K49" s="897"/>
      <c r="L49" s="891">
        <f>SUM(L37:M48)</f>
        <v>2199</v>
      </c>
      <c r="M49" s="891"/>
      <c r="N49" s="271">
        <f>SUM(N37:N48)</f>
        <v>100</v>
      </c>
    </row>
    <row r="50" spans="1:14" s="514" customFormat="1" ht="13.5" customHeight="1">
      <c r="A50" s="521"/>
      <c r="B50" s="14" t="s">
        <v>248</v>
      </c>
      <c r="C50" s="514" t="s">
        <v>249</v>
      </c>
      <c r="D50" s="515"/>
      <c r="F50" s="515"/>
      <c r="K50" s="515"/>
      <c r="L50" s="14"/>
      <c r="M50" s="515"/>
      <c r="N50" s="16" t="s">
        <v>178</v>
      </c>
    </row>
  </sheetData>
  <sheetProtection selectLockedCells="1" selectUnlockedCells="1"/>
  <mergeCells count="84">
    <mergeCell ref="C40:D40"/>
    <mergeCell ref="E40:F40"/>
    <mergeCell ref="A44:B44"/>
    <mergeCell ref="A43:B43"/>
    <mergeCell ref="A35:G35"/>
    <mergeCell ref="A39:B39"/>
    <mergeCell ref="A42:B42"/>
    <mergeCell ref="A41:B41"/>
    <mergeCell ref="A40:B40"/>
    <mergeCell ref="E38:F38"/>
    <mergeCell ref="C41:D41"/>
    <mergeCell ref="E41:F41"/>
    <mergeCell ref="A37:B37"/>
    <mergeCell ref="E39:F39"/>
    <mergeCell ref="A38:B38"/>
    <mergeCell ref="C37:D37"/>
    <mergeCell ref="E36:F36"/>
    <mergeCell ref="J36:K36"/>
    <mergeCell ref="L37:M37"/>
    <mergeCell ref="E37:F37"/>
    <mergeCell ref="C39:D39"/>
    <mergeCell ref="L39:M39"/>
    <mergeCell ref="J39:K39"/>
    <mergeCell ref="L38:M38"/>
    <mergeCell ref="J37:K37"/>
    <mergeCell ref="H39:I39"/>
    <mergeCell ref="C42:D42"/>
    <mergeCell ref="L42:M42"/>
    <mergeCell ref="E42:F42"/>
    <mergeCell ref="A2:I2"/>
    <mergeCell ref="A3:B3"/>
    <mergeCell ref="H3:I3"/>
    <mergeCell ref="H20:I20"/>
    <mergeCell ref="A4:B4"/>
    <mergeCell ref="A16:B16"/>
    <mergeCell ref="H35:N35"/>
    <mergeCell ref="C36:D36"/>
    <mergeCell ref="H37:I37"/>
    <mergeCell ref="C38:D38"/>
    <mergeCell ref="J38:K38"/>
    <mergeCell ref="L36:M36"/>
    <mergeCell ref="H38:I38"/>
    <mergeCell ref="H44:I44"/>
    <mergeCell ref="H43:I43"/>
    <mergeCell ref="J42:K42"/>
    <mergeCell ref="L43:M43"/>
    <mergeCell ref="J44:K44"/>
    <mergeCell ref="L44:M44"/>
    <mergeCell ref="J43:K43"/>
    <mergeCell ref="H42:I42"/>
    <mergeCell ref="J40:K40"/>
    <mergeCell ref="L40:M40"/>
    <mergeCell ref="H41:I41"/>
    <mergeCell ref="H40:I40"/>
    <mergeCell ref="J41:K41"/>
    <mergeCell ref="L41:M41"/>
    <mergeCell ref="C45:D45"/>
    <mergeCell ref="E43:F43"/>
    <mergeCell ref="C43:D43"/>
    <mergeCell ref="E45:F45"/>
    <mergeCell ref="C44:D44"/>
    <mergeCell ref="E44:F44"/>
    <mergeCell ref="H45:I45"/>
    <mergeCell ref="L46:M46"/>
    <mergeCell ref="L47:M47"/>
    <mergeCell ref="J46:K46"/>
    <mergeCell ref="L45:M45"/>
    <mergeCell ref="J45:K45"/>
    <mergeCell ref="A45:B45"/>
    <mergeCell ref="C47:D47"/>
    <mergeCell ref="L49:M49"/>
    <mergeCell ref="L48:M48"/>
    <mergeCell ref="E47:F47"/>
    <mergeCell ref="H46:I46"/>
    <mergeCell ref="C46:D46"/>
    <mergeCell ref="E46:F46"/>
    <mergeCell ref="A49:D49"/>
    <mergeCell ref="E48:F48"/>
    <mergeCell ref="E49:F49"/>
    <mergeCell ref="H49:K49"/>
    <mergeCell ref="C48:D48"/>
    <mergeCell ref="J47:K47"/>
    <mergeCell ref="J48:K48"/>
    <mergeCell ref="A46:B46"/>
  </mergeCells>
  <phoneticPr fontId="19"/>
  <printOptions horizontalCentered="1"/>
  <pageMargins left="0.59055118110236227" right="0.59055118110236227" top="0.59055118110236227" bottom="0.59055118110236227" header="0.39370078740157483" footer="0.39370078740157483"/>
  <pageSetup paperSize="9" firstPageNumber="0" orientation="portrait" r:id="rId1"/>
  <headerFooter scaleWithDoc="0" alignWithMargins="0">
    <oddHeader>&amp;R&amp;"ＭＳ 明朝,標準"&amp;10人　口</oddHeader>
    <oddFooter>&amp;C&amp;"ＭＳ 明朝,標準"&amp;12&amp;A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3"/>
  <sheetViews>
    <sheetView view="pageBreakPreview" topLeftCell="H1" zoomScaleNormal="100" zoomScaleSheetLayoutView="100" workbookViewId="0">
      <selection activeCell="I243" sqref="I243"/>
    </sheetView>
  </sheetViews>
  <sheetFormatPr defaultRowHeight="15" customHeight="1"/>
  <cols>
    <col min="1" max="1" width="1.25" style="46" customWidth="1"/>
    <col min="2" max="2" width="4.375" style="46" customWidth="1"/>
    <col min="3" max="3" width="9" style="46" customWidth="1"/>
    <col min="4" max="4" width="1.25" style="46" customWidth="1"/>
    <col min="5" max="11" width="9.5" style="46" customWidth="1"/>
    <col min="12" max="12" width="9.5" style="47" customWidth="1"/>
    <col min="13" max="13" width="0.875" style="46" customWidth="1"/>
    <col min="14" max="14" width="11.125" style="46" customWidth="1"/>
    <col min="15" max="15" width="9.5" style="46" customWidth="1"/>
    <col min="16" max="16" width="9.625" style="46" customWidth="1"/>
    <col min="17" max="17" width="9.5" style="46" customWidth="1"/>
    <col min="18" max="19" width="4.625" style="46" customWidth="1"/>
    <col min="20" max="22" width="9.875" style="46" customWidth="1"/>
    <col min="23" max="23" width="12.75" style="46" customWidth="1"/>
    <col min="24" max="24" width="15" style="46" customWidth="1"/>
    <col min="25" max="16384" width="9" style="46"/>
  </cols>
  <sheetData>
    <row r="1" spans="1:24" ht="4.5" customHeight="1">
      <c r="A1" s="48"/>
      <c r="B1" s="49"/>
      <c r="C1" s="50"/>
      <c r="D1" s="50"/>
      <c r="E1" s="50"/>
      <c r="F1" s="50"/>
      <c r="G1" s="50"/>
      <c r="H1" s="50"/>
      <c r="I1" s="50"/>
      <c r="J1" s="50"/>
      <c r="K1" s="50"/>
      <c r="L1" s="50"/>
    </row>
    <row r="2" spans="1:24" ht="15" customHeight="1">
      <c r="A2" s="48" t="s">
        <v>713</v>
      </c>
      <c r="B2" s="49"/>
      <c r="C2" s="50"/>
      <c r="D2" s="50"/>
      <c r="E2" s="50"/>
      <c r="F2" s="50"/>
      <c r="G2" s="50"/>
      <c r="H2" s="50"/>
      <c r="I2" s="50"/>
      <c r="J2" s="50"/>
      <c r="K2" s="50"/>
      <c r="L2" s="50"/>
    </row>
    <row r="3" spans="1:24" ht="5.0999999999999996" customHeight="1">
      <c r="A3" s="48"/>
      <c r="B3" s="49"/>
      <c r="C3" s="50"/>
      <c r="D3" s="50"/>
      <c r="E3" s="50"/>
      <c r="F3" s="50"/>
      <c r="G3" s="50"/>
      <c r="H3" s="50"/>
      <c r="I3" s="50"/>
      <c r="J3" s="50"/>
      <c r="K3" s="50"/>
      <c r="L3" s="50"/>
    </row>
    <row r="4" spans="1:24" s="51" customFormat="1" ht="86.25" customHeight="1">
      <c r="A4" s="955" t="s">
        <v>671</v>
      </c>
      <c r="B4" s="955"/>
      <c r="C4" s="955"/>
      <c r="D4" s="955"/>
      <c r="E4" s="955"/>
      <c r="F4" s="955"/>
      <c r="G4" s="955"/>
      <c r="H4" s="955"/>
      <c r="I4" s="955"/>
      <c r="J4" s="955"/>
      <c r="K4" s="955"/>
      <c r="L4" s="955"/>
      <c r="N4" s="955" t="s">
        <v>714</v>
      </c>
      <c r="O4" s="955"/>
      <c r="P4" s="955"/>
      <c r="Q4" s="955"/>
      <c r="R4" s="955"/>
      <c r="S4" s="955"/>
      <c r="T4" s="955"/>
      <c r="U4" s="955"/>
      <c r="V4" s="955"/>
      <c r="W4" s="955"/>
    </row>
    <row r="5" spans="1:24" ht="10.5" customHeight="1">
      <c r="A5" s="956"/>
      <c r="B5" s="956"/>
      <c r="C5" s="956"/>
      <c r="D5" s="956"/>
      <c r="E5" s="956"/>
      <c r="F5" s="956"/>
      <c r="G5" s="956"/>
      <c r="H5" s="956"/>
      <c r="I5" s="956"/>
      <c r="J5" s="956"/>
      <c r="K5" s="956"/>
      <c r="L5" s="956"/>
      <c r="M5" s="52"/>
      <c r="N5" s="957"/>
      <c r="O5" s="957"/>
      <c r="P5" s="957"/>
      <c r="Q5" s="957"/>
      <c r="R5" s="957"/>
      <c r="S5" s="957"/>
      <c r="T5" s="957"/>
      <c r="U5" s="957"/>
      <c r="V5" s="957"/>
      <c r="W5" s="957"/>
    </row>
    <row r="6" spans="1:24" ht="15" customHeight="1" thickBot="1">
      <c r="B6" s="5" t="s">
        <v>664</v>
      </c>
      <c r="C6" s="5"/>
      <c r="D6" s="5"/>
      <c r="E6" s="53"/>
      <c r="F6" s="53"/>
      <c r="G6" s="53"/>
      <c r="I6" s="53"/>
      <c r="K6" s="53"/>
      <c r="L6" s="54"/>
      <c r="N6" s="5" t="s">
        <v>665</v>
      </c>
    </row>
    <row r="7" spans="1:24" ht="15" customHeight="1">
      <c r="A7" s="932" t="s">
        <v>250</v>
      </c>
      <c r="B7" s="933"/>
      <c r="C7" s="933"/>
      <c r="D7" s="933"/>
      <c r="E7" s="933" t="s">
        <v>251</v>
      </c>
      <c r="F7" s="933"/>
      <c r="G7" s="933" t="s">
        <v>252</v>
      </c>
      <c r="H7" s="933"/>
      <c r="I7" s="933" t="s">
        <v>253</v>
      </c>
      <c r="J7" s="933"/>
      <c r="K7" s="933"/>
      <c r="L7" s="952"/>
      <c r="M7" s="47"/>
      <c r="N7" s="166" t="s">
        <v>254</v>
      </c>
      <c r="O7" s="961" t="s">
        <v>669</v>
      </c>
      <c r="P7" s="962"/>
      <c r="Q7" s="949" t="s">
        <v>255</v>
      </c>
      <c r="R7" s="942"/>
      <c r="S7" s="942"/>
      <c r="T7" s="953"/>
      <c r="U7" s="846" t="s">
        <v>256</v>
      </c>
      <c r="V7" s="960"/>
      <c r="W7" s="527"/>
    </row>
    <row r="8" spans="1:24" ht="15" customHeight="1">
      <c r="A8" s="934"/>
      <c r="B8" s="935"/>
      <c r="C8" s="935"/>
      <c r="D8" s="935"/>
      <c r="E8" s="935"/>
      <c r="F8" s="935"/>
      <c r="G8" s="935"/>
      <c r="H8" s="935"/>
      <c r="I8" s="959" t="s">
        <v>20</v>
      </c>
      <c r="J8" s="959"/>
      <c r="K8" s="573" t="s">
        <v>21</v>
      </c>
      <c r="L8" s="587" t="s">
        <v>22</v>
      </c>
      <c r="M8" s="529"/>
      <c r="N8" s="530" t="s">
        <v>644</v>
      </c>
      <c r="O8" s="526" t="s">
        <v>257</v>
      </c>
      <c r="P8" s="526" t="s">
        <v>258</v>
      </c>
      <c r="Q8" s="531" t="s">
        <v>666</v>
      </c>
      <c r="R8" s="847" t="s">
        <v>667</v>
      </c>
      <c r="S8" s="958"/>
      <c r="T8" s="526" t="s">
        <v>259</v>
      </c>
      <c r="U8" s="618" t="s">
        <v>26</v>
      </c>
      <c r="V8" s="266" t="s">
        <v>668</v>
      </c>
    </row>
    <row r="9" spans="1:24" ht="15" customHeight="1">
      <c r="A9" s="163"/>
      <c r="B9" s="918" t="s">
        <v>246</v>
      </c>
      <c r="C9" s="918"/>
      <c r="D9" s="100"/>
      <c r="E9" s="930">
        <v>2281.12</v>
      </c>
      <c r="F9" s="930"/>
      <c r="G9" s="954">
        <v>560424</v>
      </c>
      <c r="H9" s="954"/>
      <c r="I9" s="954">
        <v>1433566</v>
      </c>
      <c r="J9" s="954"/>
      <c r="K9" s="571">
        <v>704619</v>
      </c>
      <c r="L9" s="588">
        <v>728947</v>
      </c>
      <c r="M9" s="47"/>
      <c r="N9" s="167">
        <v>1392818</v>
      </c>
      <c r="O9" s="286">
        <f>I9-N9</f>
        <v>40748</v>
      </c>
      <c r="P9" s="287">
        <f>O9/N9*100</f>
        <v>2.9255796521871487</v>
      </c>
      <c r="Q9" s="55">
        <v>1000</v>
      </c>
      <c r="R9" s="947">
        <f>(I9/$I$9)*1000</f>
        <v>1000</v>
      </c>
      <c r="S9" s="947"/>
      <c r="T9" s="294">
        <v>0</v>
      </c>
      <c r="U9" s="639">
        <v>611.9</v>
      </c>
      <c r="V9" s="298">
        <v>628.4</v>
      </c>
      <c r="W9" s="965"/>
      <c r="X9" s="918"/>
    </row>
    <row r="10" spans="1:24" ht="15" customHeight="1">
      <c r="A10" s="163"/>
      <c r="B10" s="918" t="s">
        <v>206</v>
      </c>
      <c r="C10" s="918"/>
      <c r="D10" s="100"/>
      <c r="E10" s="930">
        <v>39.57</v>
      </c>
      <c r="F10" s="930"/>
      <c r="G10" s="928">
        <v>135532</v>
      </c>
      <c r="H10" s="928"/>
      <c r="I10" s="928">
        <v>319435</v>
      </c>
      <c r="J10" s="928"/>
      <c r="K10" s="571">
        <v>154685</v>
      </c>
      <c r="L10" s="588">
        <v>164750</v>
      </c>
      <c r="M10" s="47"/>
      <c r="N10" s="168">
        <v>315954</v>
      </c>
      <c r="O10" s="288">
        <f t="shared" ref="O10:O23" si="0">I10-N10</f>
        <v>3481</v>
      </c>
      <c r="P10" s="289">
        <f t="shared" ref="P10:P23" si="1">O10/N10*100</f>
        <v>1.1017426587414625</v>
      </c>
      <c r="Q10" s="56">
        <v>226.8</v>
      </c>
      <c r="R10" s="921">
        <f>(I10/$I$9)*1000</f>
        <v>222.82545763501645</v>
      </c>
      <c r="S10" s="921"/>
      <c r="T10" s="295">
        <f>R10-Q10</f>
        <v>-3.9745423649835629</v>
      </c>
      <c r="U10" s="640">
        <v>8051.8</v>
      </c>
      <c r="V10" s="299">
        <v>8072.7</v>
      </c>
      <c r="W10" s="965"/>
      <c r="X10" s="918"/>
    </row>
    <row r="11" spans="1:24" ht="15" customHeight="1">
      <c r="A11" s="163"/>
      <c r="B11" s="918" t="s">
        <v>208</v>
      </c>
      <c r="C11" s="918"/>
      <c r="D11" s="100"/>
      <c r="E11" s="930">
        <v>87.01</v>
      </c>
      <c r="F11" s="930"/>
      <c r="G11" s="928">
        <v>42378</v>
      </c>
      <c r="H11" s="928"/>
      <c r="I11" s="928">
        <v>118898</v>
      </c>
      <c r="J11" s="928"/>
      <c r="K11" s="571">
        <v>59409</v>
      </c>
      <c r="L11" s="588">
        <v>59489</v>
      </c>
      <c r="M11" s="47"/>
      <c r="N11" s="168">
        <v>116979</v>
      </c>
      <c r="O11" s="288">
        <f t="shared" si="0"/>
        <v>1919</v>
      </c>
      <c r="P11" s="289">
        <f t="shared" si="1"/>
        <v>1.6404653826755229</v>
      </c>
      <c r="Q11" s="56">
        <v>84</v>
      </c>
      <c r="R11" s="921">
        <f t="shared" ref="R11:R23" si="2">(I11/$I$9)*1000</f>
        <v>82.938629961927106</v>
      </c>
      <c r="S11" s="921"/>
      <c r="T11" s="295">
        <f>R11-Q11</f>
        <v>-1.0613700380728943</v>
      </c>
      <c r="U11" s="640">
        <v>1359</v>
      </c>
      <c r="V11" s="299">
        <v>1366.5</v>
      </c>
      <c r="W11" s="965"/>
      <c r="X11" s="918"/>
    </row>
    <row r="12" spans="1:24" ht="15" customHeight="1">
      <c r="A12" s="163"/>
      <c r="B12" s="918" t="s">
        <v>212</v>
      </c>
      <c r="C12" s="918"/>
      <c r="D12" s="100"/>
      <c r="E12" s="930">
        <v>19.8</v>
      </c>
      <c r="F12" s="930"/>
      <c r="G12" s="928">
        <v>39333</v>
      </c>
      <c r="H12" s="928"/>
      <c r="I12" s="928">
        <v>96243</v>
      </c>
      <c r="J12" s="928"/>
      <c r="K12" s="571">
        <v>47022</v>
      </c>
      <c r="L12" s="588">
        <v>49221</v>
      </c>
      <c r="M12" s="47"/>
      <c r="N12" s="168">
        <v>91928</v>
      </c>
      <c r="O12" s="288">
        <f>I12-N12</f>
        <v>4315</v>
      </c>
      <c r="P12" s="289">
        <f t="shared" si="1"/>
        <v>4.6938908711165261</v>
      </c>
      <c r="Q12" s="56">
        <v>66</v>
      </c>
      <c r="R12" s="921">
        <f t="shared" si="2"/>
        <v>67.135381279968968</v>
      </c>
      <c r="S12" s="921"/>
      <c r="T12" s="295">
        <f t="shared" ref="T12:T22" si="3">R12-Q12</f>
        <v>1.1353812799689678</v>
      </c>
      <c r="U12" s="640">
        <v>4666.3999999999996</v>
      </c>
      <c r="V12" s="299">
        <v>4860.8</v>
      </c>
      <c r="W12" s="965"/>
      <c r="X12" s="918"/>
    </row>
    <row r="13" spans="1:24" ht="15" customHeight="1">
      <c r="A13" s="163"/>
      <c r="B13" s="918" t="s">
        <v>210</v>
      </c>
      <c r="C13" s="918"/>
      <c r="D13" s="100"/>
      <c r="E13" s="930">
        <v>204.2</v>
      </c>
      <c r="F13" s="930"/>
      <c r="G13" s="928">
        <v>21977</v>
      </c>
      <c r="H13" s="928"/>
      <c r="I13" s="928">
        <v>51186</v>
      </c>
      <c r="J13" s="928"/>
      <c r="K13" s="571">
        <v>25131</v>
      </c>
      <c r="L13" s="588">
        <v>26055</v>
      </c>
      <c r="M13" s="47"/>
      <c r="N13" s="168">
        <v>52039</v>
      </c>
      <c r="O13" s="290">
        <f t="shared" si="0"/>
        <v>-853</v>
      </c>
      <c r="P13" s="291">
        <f t="shared" si="1"/>
        <v>-1.6391552489479044</v>
      </c>
      <c r="Q13" s="56">
        <v>37.4</v>
      </c>
      <c r="R13" s="921">
        <f t="shared" si="2"/>
        <v>35.70536689625731</v>
      </c>
      <c r="S13" s="921"/>
      <c r="T13" s="295">
        <f t="shared" si="3"/>
        <v>-1.6946331037426887</v>
      </c>
      <c r="U13" s="640">
        <v>254.4</v>
      </c>
      <c r="V13" s="299">
        <v>250.7</v>
      </c>
      <c r="W13" s="965"/>
      <c r="X13" s="918"/>
    </row>
    <row r="14" spans="1:24" ht="15" customHeight="1">
      <c r="A14" s="163"/>
      <c r="B14" s="918" t="s">
        <v>216</v>
      </c>
      <c r="C14" s="918"/>
      <c r="D14" s="100"/>
      <c r="E14" s="930">
        <v>229.34</v>
      </c>
      <c r="F14" s="930"/>
      <c r="G14" s="928">
        <v>20514</v>
      </c>
      <c r="H14" s="928"/>
      <c r="I14" s="928">
        <v>47564</v>
      </c>
      <c r="J14" s="928"/>
      <c r="K14" s="571">
        <v>23659</v>
      </c>
      <c r="L14" s="588">
        <v>23905</v>
      </c>
      <c r="M14" s="47"/>
      <c r="N14" s="168">
        <v>46922</v>
      </c>
      <c r="O14" s="288">
        <f t="shared" si="0"/>
        <v>642</v>
      </c>
      <c r="P14" s="289">
        <f t="shared" si="1"/>
        <v>1.3682281232684028</v>
      </c>
      <c r="Q14" s="56">
        <v>33.700000000000003</v>
      </c>
      <c r="R14" s="921">
        <f t="shared" si="2"/>
        <v>33.178800278466426</v>
      </c>
      <c r="S14" s="921"/>
      <c r="T14" s="295">
        <f t="shared" si="3"/>
        <v>-0.52119972153357708</v>
      </c>
      <c r="U14" s="640">
        <v>204.9</v>
      </c>
      <c r="V14" s="299">
        <v>207.4</v>
      </c>
      <c r="W14" s="965"/>
      <c r="X14" s="918"/>
    </row>
    <row r="15" spans="1:24" ht="15" customHeight="1">
      <c r="A15" s="163"/>
      <c r="B15" s="923" t="s">
        <v>260</v>
      </c>
      <c r="C15" s="923"/>
      <c r="D15" s="585"/>
      <c r="E15" s="963">
        <v>19.48</v>
      </c>
      <c r="F15" s="963"/>
      <c r="G15" s="948">
        <v>44041</v>
      </c>
      <c r="H15" s="948"/>
      <c r="I15" s="948">
        <v>114232</v>
      </c>
      <c r="J15" s="948"/>
      <c r="K15" s="574">
        <v>55471</v>
      </c>
      <c r="L15" s="589">
        <v>58761</v>
      </c>
      <c r="M15" s="47"/>
      <c r="N15" s="169">
        <v>110351</v>
      </c>
      <c r="O15" s="292">
        <f t="shared" si="0"/>
        <v>3881</v>
      </c>
      <c r="P15" s="474">
        <f t="shared" si="1"/>
        <v>3.5169595200768455</v>
      </c>
      <c r="Q15" s="59">
        <v>79.2</v>
      </c>
      <c r="R15" s="964">
        <f>(I15/$I$9)*1000</f>
        <v>79.683809465347252</v>
      </c>
      <c r="S15" s="964"/>
      <c r="T15" s="296">
        <f t="shared" si="3"/>
        <v>0.48380946534724956</v>
      </c>
      <c r="U15" s="641">
        <v>5780.6</v>
      </c>
      <c r="V15" s="300">
        <v>5864.1</v>
      </c>
      <c r="W15" s="966"/>
      <c r="X15" s="923"/>
    </row>
    <row r="16" spans="1:24" ht="15" customHeight="1">
      <c r="A16" s="163"/>
      <c r="B16" s="918" t="s">
        <v>218</v>
      </c>
      <c r="C16" s="918"/>
      <c r="D16" s="100"/>
      <c r="E16" s="930">
        <v>210.9</v>
      </c>
      <c r="F16" s="930"/>
      <c r="G16" s="928">
        <v>26142</v>
      </c>
      <c r="H16" s="928"/>
      <c r="I16" s="928">
        <v>61674</v>
      </c>
      <c r="J16" s="928"/>
      <c r="K16" s="571">
        <v>30626</v>
      </c>
      <c r="L16" s="588">
        <v>31048</v>
      </c>
      <c r="M16" s="47"/>
      <c r="N16" s="168">
        <v>60231</v>
      </c>
      <c r="O16" s="288">
        <f t="shared" si="0"/>
        <v>1443</v>
      </c>
      <c r="P16" s="289">
        <f t="shared" si="1"/>
        <v>2.3957762613936349</v>
      </c>
      <c r="Q16" s="56">
        <v>43.2</v>
      </c>
      <c r="R16" s="921">
        <f t="shared" si="2"/>
        <v>43.021388621102901</v>
      </c>
      <c r="S16" s="921"/>
      <c r="T16" s="295">
        <f t="shared" si="3"/>
        <v>-0.17861137889710221</v>
      </c>
      <c r="U16" s="640">
        <v>286.3</v>
      </c>
      <c r="V16" s="299">
        <v>292.39999999999998</v>
      </c>
      <c r="W16" s="965"/>
      <c r="X16" s="918"/>
    </row>
    <row r="17" spans="1:24" ht="15" customHeight="1">
      <c r="A17" s="163"/>
      <c r="B17" s="918" t="s">
        <v>220</v>
      </c>
      <c r="C17" s="918"/>
      <c r="D17" s="100"/>
      <c r="E17" s="930">
        <v>46.62</v>
      </c>
      <c r="F17" s="930"/>
      <c r="G17" s="928">
        <v>20647</v>
      </c>
      <c r="H17" s="928"/>
      <c r="I17" s="928">
        <v>58547</v>
      </c>
      <c r="J17" s="928"/>
      <c r="K17" s="571">
        <v>29333</v>
      </c>
      <c r="L17" s="588">
        <v>29214</v>
      </c>
      <c r="M17" s="47"/>
      <c r="N17" s="168">
        <v>57320</v>
      </c>
      <c r="O17" s="288">
        <f t="shared" si="0"/>
        <v>1227</v>
      </c>
      <c r="P17" s="289">
        <f t="shared" si="1"/>
        <v>2.1406140963014653</v>
      </c>
      <c r="Q17" s="56">
        <v>41.2</v>
      </c>
      <c r="R17" s="921">
        <f t="shared" si="2"/>
        <v>40.840114790668864</v>
      </c>
      <c r="S17" s="921"/>
      <c r="T17" s="295">
        <f t="shared" si="3"/>
        <v>-0.35988520933113932</v>
      </c>
      <c r="U17" s="640">
        <v>1229.3</v>
      </c>
      <c r="V17" s="299">
        <v>1255.8</v>
      </c>
      <c r="W17" s="965"/>
      <c r="X17" s="918"/>
    </row>
    <row r="18" spans="1:24" ht="15" customHeight="1">
      <c r="A18" s="163"/>
      <c r="B18" s="918" t="s">
        <v>222</v>
      </c>
      <c r="C18" s="918"/>
      <c r="D18" s="100"/>
      <c r="E18" s="930">
        <v>49.72</v>
      </c>
      <c r="F18" s="930"/>
      <c r="G18" s="928">
        <v>53325</v>
      </c>
      <c r="H18" s="928"/>
      <c r="I18" s="928">
        <v>139279</v>
      </c>
      <c r="J18" s="928"/>
      <c r="K18" s="571">
        <v>67522</v>
      </c>
      <c r="L18" s="588">
        <v>71757</v>
      </c>
      <c r="M18" s="47"/>
      <c r="N18" s="168">
        <v>130249</v>
      </c>
      <c r="O18" s="288">
        <f t="shared" si="0"/>
        <v>9030</v>
      </c>
      <c r="P18" s="289">
        <f t="shared" si="1"/>
        <v>6.932874724566024</v>
      </c>
      <c r="Q18" s="56">
        <v>93.5</v>
      </c>
      <c r="R18" s="921">
        <f>(I18/$I$9)*1000</f>
        <v>97.155624505603512</v>
      </c>
      <c r="S18" s="921"/>
      <c r="T18" s="295">
        <f t="shared" si="3"/>
        <v>3.6556245056035124</v>
      </c>
      <c r="U18" s="640">
        <v>2658.1</v>
      </c>
      <c r="V18" s="299">
        <v>2801.3</v>
      </c>
      <c r="W18" s="965"/>
      <c r="X18" s="918"/>
    </row>
    <row r="19" spans="1:24" ht="15" customHeight="1">
      <c r="A19" s="163"/>
      <c r="B19" s="918" t="s">
        <v>224</v>
      </c>
      <c r="C19" s="918"/>
      <c r="D19" s="100"/>
      <c r="E19" s="930">
        <v>19.600000000000001</v>
      </c>
      <c r="F19" s="930"/>
      <c r="G19" s="928">
        <v>21780</v>
      </c>
      <c r="H19" s="928"/>
      <c r="I19" s="928">
        <v>61119</v>
      </c>
      <c r="J19" s="928"/>
      <c r="K19" s="571">
        <v>29761</v>
      </c>
      <c r="L19" s="588">
        <v>31358</v>
      </c>
      <c r="M19" s="47"/>
      <c r="N19" s="168">
        <v>57261</v>
      </c>
      <c r="O19" s="288">
        <f>I19-N19</f>
        <v>3858</v>
      </c>
      <c r="P19" s="289">
        <f t="shared" si="1"/>
        <v>6.737570073872269</v>
      </c>
      <c r="Q19" s="56">
        <v>41.1</v>
      </c>
      <c r="R19" s="921">
        <f t="shared" si="2"/>
        <v>42.634242162551288</v>
      </c>
      <c r="S19" s="921"/>
      <c r="T19" s="295">
        <f t="shared" si="3"/>
        <v>1.534242162551287</v>
      </c>
      <c r="U19" s="640">
        <v>2944</v>
      </c>
      <c r="V19" s="299">
        <v>3118.3</v>
      </c>
      <c r="W19" s="965"/>
      <c r="X19" s="918"/>
    </row>
    <row r="20" spans="1:24" ht="15" customHeight="1">
      <c r="A20" s="163"/>
      <c r="B20" s="918" t="s">
        <v>487</v>
      </c>
      <c r="C20" s="918"/>
      <c r="D20" s="100"/>
      <c r="E20" s="950">
        <v>49.94</v>
      </c>
      <c r="F20" s="951"/>
      <c r="G20" s="939">
        <v>14295</v>
      </c>
      <c r="H20" s="939"/>
      <c r="I20" s="928">
        <v>42016</v>
      </c>
      <c r="J20" s="928"/>
      <c r="K20" s="571">
        <v>21194</v>
      </c>
      <c r="L20" s="588">
        <v>20822</v>
      </c>
      <c r="M20" s="47"/>
      <c r="N20" s="302">
        <v>39758</v>
      </c>
      <c r="O20" s="288">
        <f>I20-N20</f>
        <v>2258</v>
      </c>
      <c r="P20" s="289">
        <f t="shared" si="1"/>
        <v>5.6793601287791136</v>
      </c>
      <c r="Q20" s="638">
        <v>28.5</v>
      </c>
      <c r="R20" s="921">
        <f t="shared" si="2"/>
        <v>29.308730815323468</v>
      </c>
      <c r="S20" s="921"/>
      <c r="T20" s="295">
        <f>R20-Q20</f>
        <v>0.80873081532346802</v>
      </c>
      <c r="U20" s="626">
        <v>798.8</v>
      </c>
      <c r="V20" s="532">
        <v>841.3</v>
      </c>
      <c r="W20" s="965"/>
      <c r="X20" s="918"/>
    </row>
    <row r="21" spans="1:24" ht="15" customHeight="1">
      <c r="A21" s="163"/>
      <c r="B21" s="918" t="s">
        <v>204</v>
      </c>
      <c r="C21" s="918"/>
      <c r="D21" s="100"/>
      <c r="E21" s="930">
        <v>15.9</v>
      </c>
      <c r="F21" s="930"/>
      <c r="G21" s="928">
        <v>12641</v>
      </c>
      <c r="H21" s="928"/>
      <c r="I21" s="928">
        <v>34508</v>
      </c>
      <c r="J21" s="928"/>
      <c r="K21" s="571">
        <v>17280</v>
      </c>
      <c r="L21" s="588">
        <v>17228</v>
      </c>
      <c r="M21" s="47"/>
      <c r="N21" s="168">
        <v>34766</v>
      </c>
      <c r="O21" s="288">
        <f t="shared" si="0"/>
        <v>-258</v>
      </c>
      <c r="P21" s="291">
        <f>O21/N21*100</f>
        <v>-0.74210435482943105</v>
      </c>
      <c r="Q21" s="56">
        <v>25</v>
      </c>
      <c r="R21" s="921">
        <f t="shared" si="2"/>
        <v>24.071441426484725</v>
      </c>
      <c r="S21" s="921"/>
      <c r="T21" s="295">
        <f t="shared" si="3"/>
        <v>-0.92855857351527504</v>
      </c>
      <c r="U21" s="640">
        <v>2194.8000000000002</v>
      </c>
      <c r="V21" s="299">
        <v>2170.3000000000002</v>
      </c>
      <c r="W21" s="965"/>
      <c r="X21" s="918"/>
    </row>
    <row r="22" spans="1:24" ht="15" customHeight="1">
      <c r="A22" s="163"/>
      <c r="B22" s="918" t="s">
        <v>486</v>
      </c>
      <c r="C22" s="918"/>
      <c r="D22" s="100"/>
      <c r="E22" s="930">
        <v>5.18</v>
      </c>
      <c r="F22" s="930"/>
      <c r="G22" s="928">
        <v>7003</v>
      </c>
      <c r="H22" s="928"/>
      <c r="I22" s="928">
        <v>18410</v>
      </c>
      <c r="J22" s="928"/>
      <c r="K22" s="571">
        <v>8832</v>
      </c>
      <c r="L22" s="588">
        <v>9578</v>
      </c>
      <c r="M22" s="47"/>
      <c r="N22" s="168">
        <v>16318</v>
      </c>
      <c r="O22" s="288">
        <f t="shared" si="0"/>
        <v>2092</v>
      </c>
      <c r="P22" s="289">
        <f t="shared" si="1"/>
        <v>12.82019855374433</v>
      </c>
      <c r="Q22" s="56">
        <v>11.7</v>
      </c>
      <c r="R22" s="921">
        <f t="shared" si="2"/>
        <v>12.842101444928241</v>
      </c>
      <c r="S22" s="921"/>
      <c r="T22" s="295">
        <f t="shared" si="3"/>
        <v>1.1421014449282421</v>
      </c>
      <c r="U22" s="640">
        <v>3212.2</v>
      </c>
      <c r="V22" s="299">
        <v>3554.1</v>
      </c>
      <c r="W22" s="965"/>
      <c r="X22" s="918"/>
    </row>
    <row r="23" spans="1:24" ht="15" customHeight="1" thickBot="1">
      <c r="A23" s="165"/>
      <c r="B23" s="922" t="s">
        <v>209</v>
      </c>
      <c r="C23" s="922"/>
      <c r="D23" s="586"/>
      <c r="E23" s="944">
        <v>10.76</v>
      </c>
      <c r="F23" s="944"/>
      <c r="G23" s="931">
        <v>12763</v>
      </c>
      <c r="H23" s="931"/>
      <c r="I23" s="931">
        <v>37502</v>
      </c>
      <c r="J23" s="931"/>
      <c r="K23" s="572">
        <v>18429</v>
      </c>
      <c r="L23" s="590">
        <v>19073</v>
      </c>
      <c r="M23" s="47"/>
      <c r="N23" s="170">
        <v>35244</v>
      </c>
      <c r="O23" s="293">
        <f t="shared" si="0"/>
        <v>2258</v>
      </c>
      <c r="P23" s="291">
        <f t="shared" si="1"/>
        <v>6.4067642719328122</v>
      </c>
      <c r="Q23" s="171">
        <v>25.3</v>
      </c>
      <c r="R23" s="921">
        <f t="shared" si="2"/>
        <v>26.159939619103689</v>
      </c>
      <c r="S23" s="921"/>
      <c r="T23" s="297">
        <f>R23-Q23</f>
        <v>0.8599396191036881</v>
      </c>
      <c r="U23" s="642">
        <v>3287.7</v>
      </c>
      <c r="V23" s="301">
        <v>3485.3</v>
      </c>
      <c r="W23" s="965"/>
      <c r="X23" s="918"/>
    </row>
    <row r="24" spans="1:24" ht="15" customHeight="1">
      <c r="B24" s="940" t="s">
        <v>645</v>
      </c>
      <c r="C24" s="940"/>
      <c r="D24" s="940"/>
      <c r="E24" s="940"/>
      <c r="F24" s="940"/>
      <c r="G24" s="940"/>
      <c r="H24" s="940"/>
      <c r="I24" s="940"/>
      <c r="J24" s="940"/>
      <c r="K24" s="940"/>
      <c r="L24" s="54"/>
      <c r="M24" s="47"/>
      <c r="N24" s="53"/>
      <c r="O24" s="53"/>
      <c r="P24" s="281"/>
      <c r="Q24" s="53"/>
      <c r="R24" s="929"/>
      <c r="S24" s="929"/>
      <c r="T24" s="53"/>
      <c r="U24" s="7"/>
      <c r="V24" s="7" t="s">
        <v>663</v>
      </c>
      <c r="W24" s="7"/>
    </row>
    <row r="25" spans="1:24" ht="15" customHeight="1">
      <c r="B25" s="5" t="s">
        <v>717</v>
      </c>
      <c r="C25" s="5"/>
      <c r="D25" s="5"/>
      <c r="E25" s="5"/>
      <c r="F25" s="5"/>
      <c r="G25" s="5"/>
      <c r="H25" s="5"/>
      <c r="I25" s="5"/>
      <c r="J25" s="5"/>
      <c r="K25" s="53"/>
      <c r="L25" s="54"/>
      <c r="M25" s="5"/>
      <c r="N25" s="53"/>
      <c r="O25" s="53"/>
      <c r="P25" s="53"/>
      <c r="Q25" s="53"/>
      <c r="R25" s="53"/>
      <c r="S25" s="53"/>
      <c r="T25" s="53"/>
      <c r="U25" s="53"/>
      <c r="V25" s="53"/>
      <c r="W25" s="7"/>
    </row>
    <row r="26" spans="1:24" ht="15" customHeight="1">
      <c r="B26" s="938" t="s">
        <v>718</v>
      </c>
      <c r="C26" s="938"/>
      <c r="D26" s="938"/>
      <c r="E26" s="938"/>
      <c r="F26" s="938"/>
      <c r="G26" s="938"/>
      <c r="H26" s="938"/>
      <c r="I26" s="938"/>
      <c r="J26" s="938"/>
      <c r="K26" s="5"/>
      <c r="L26" s="54"/>
      <c r="M26" s="5"/>
      <c r="N26" s="53"/>
      <c r="O26" s="53"/>
      <c r="P26" s="53"/>
      <c r="Q26" s="53"/>
      <c r="R26" s="53"/>
      <c r="S26" s="53"/>
      <c r="T26" s="53"/>
      <c r="U26" s="53"/>
      <c r="V26" s="53"/>
      <c r="W26" s="53"/>
    </row>
    <row r="27" spans="1:24" ht="11.25" customHeight="1">
      <c r="B27" s="938"/>
      <c r="C27" s="938"/>
      <c r="D27" s="938"/>
      <c r="E27" s="938"/>
      <c r="F27" s="938"/>
      <c r="G27" s="938"/>
      <c r="H27" s="938"/>
      <c r="I27" s="938"/>
      <c r="J27" s="938"/>
      <c r="K27" s="938"/>
      <c r="L27" s="54"/>
      <c r="M27" s="5"/>
      <c r="N27" s="53"/>
      <c r="O27" s="53"/>
      <c r="P27" s="53"/>
      <c r="Q27" s="53"/>
      <c r="R27" s="53"/>
      <c r="S27" s="53"/>
      <c r="T27" s="53"/>
      <c r="U27" s="53"/>
      <c r="V27" s="53"/>
      <c r="W27" s="53"/>
    </row>
    <row r="28" spans="1:24" ht="15" customHeight="1" thickBot="1">
      <c r="B28" s="5" t="s">
        <v>261</v>
      </c>
      <c r="C28" s="5"/>
      <c r="D28" s="5"/>
      <c r="E28" s="53"/>
      <c r="F28" s="53"/>
      <c r="G28" s="53"/>
      <c r="H28" s="53"/>
      <c r="I28" s="53"/>
      <c r="J28" s="53"/>
      <c r="K28" s="53"/>
      <c r="L28" s="54"/>
      <c r="M28" s="5"/>
      <c r="N28" s="5" t="s">
        <v>262</v>
      </c>
      <c r="O28" s="53"/>
      <c r="P28" s="53"/>
      <c r="Q28" s="53"/>
      <c r="R28" s="53"/>
      <c r="S28" s="53"/>
      <c r="T28" s="53"/>
      <c r="U28" s="53"/>
      <c r="V28" s="53"/>
      <c r="W28" s="53"/>
    </row>
    <row r="29" spans="1:24" ht="15" customHeight="1">
      <c r="A29" s="932" t="s">
        <v>250</v>
      </c>
      <c r="B29" s="933"/>
      <c r="C29" s="933"/>
      <c r="D29" s="933"/>
      <c r="E29" s="933" t="s">
        <v>263</v>
      </c>
      <c r="F29" s="933"/>
      <c r="G29" s="933"/>
      <c r="H29" s="949"/>
      <c r="I29" s="941" t="s">
        <v>264</v>
      </c>
      <c r="J29" s="942"/>
      <c r="K29" s="942"/>
      <c r="L29" s="943"/>
      <c r="M29" s="529"/>
      <c r="N29" s="936" t="s">
        <v>201</v>
      </c>
      <c r="O29" s="914" t="s">
        <v>265</v>
      </c>
      <c r="P29" s="915"/>
      <c r="Q29" s="915"/>
      <c r="R29" s="915"/>
      <c r="S29" s="916"/>
      <c r="T29" s="925" t="s">
        <v>643</v>
      </c>
      <c r="U29" s="915"/>
      <c r="V29" s="915"/>
      <c r="W29" s="926"/>
      <c r="X29" s="529"/>
    </row>
    <row r="30" spans="1:24" ht="15" customHeight="1">
      <c r="A30" s="934"/>
      <c r="B30" s="935"/>
      <c r="C30" s="935"/>
      <c r="D30" s="935"/>
      <c r="E30" s="9" t="s">
        <v>182</v>
      </c>
      <c r="F30" s="9" t="s">
        <v>185</v>
      </c>
      <c r="G30" s="9" t="s">
        <v>188</v>
      </c>
      <c r="H30" s="604" t="s">
        <v>266</v>
      </c>
      <c r="I30" s="536" t="s">
        <v>182</v>
      </c>
      <c r="J30" s="603" t="s">
        <v>185</v>
      </c>
      <c r="K30" s="603" t="s">
        <v>188</v>
      </c>
      <c r="L30" s="162" t="s">
        <v>266</v>
      </c>
      <c r="M30" s="529"/>
      <c r="N30" s="937"/>
      <c r="O30" s="528" t="s">
        <v>182</v>
      </c>
      <c r="P30" s="528" t="s">
        <v>185</v>
      </c>
      <c r="Q30" s="528" t="s">
        <v>188</v>
      </c>
      <c r="R30" s="912" t="s">
        <v>266</v>
      </c>
      <c r="S30" s="913"/>
      <c r="T30" s="602" t="s">
        <v>182</v>
      </c>
      <c r="U30" s="602" t="s">
        <v>185</v>
      </c>
      <c r="V30" s="602" t="s">
        <v>188</v>
      </c>
      <c r="W30" s="609" t="s">
        <v>266</v>
      </c>
      <c r="X30" s="601"/>
    </row>
    <row r="31" spans="1:24" ht="15" customHeight="1">
      <c r="A31" s="163"/>
      <c r="B31" s="946" t="s">
        <v>246</v>
      </c>
      <c r="C31" s="946"/>
      <c r="D31" s="613"/>
      <c r="E31" s="61">
        <f t="shared" ref="E31:E47" si="4">F31+G31</f>
        <v>44780</v>
      </c>
      <c r="F31" s="62">
        <v>46455</v>
      </c>
      <c r="G31" s="63">
        <v>-1675</v>
      </c>
      <c r="H31" s="175" t="s">
        <v>267</v>
      </c>
      <c r="I31" s="62">
        <f t="shared" ref="I31:I47" si="5">+J31+K31</f>
        <v>43374</v>
      </c>
      <c r="J31" s="62">
        <v>41051</v>
      </c>
      <c r="K31" s="63">
        <v>2323</v>
      </c>
      <c r="L31" s="749" t="s">
        <v>268</v>
      </c>
      <c r="M31" s="529"/>
      <c r="N31" s="535" t="s">
        <v>246</v>
      </c>
      <c r="O31" s="362">
        <v>31224</v>
      </c>
      <c r="P31" s="290">
        <v>35842</v>
      </c>
      <c r="Q31" s="305">
        <f>+O31-P31</f>
        <v>-4618</v>
      </c>
      <c r="R31" s="917" t="s">
        <v>5</v>
      </c>
      <c r="S31" s="917"/>
      <c r="T31" s="362">
        <f t="shared" ref="T31:T45" si="6">I9-N9</f>
        <v>40748</v>
      </c>
      <c r="U31" s="290">
        <v>30326</v>
      </c>
      <c r="V31" s="305">
        <f>+T31-U31</f>
        <v>10422</v>
      </c>
      <c r="W31" s="610" t="s">
        <v>7</v>
      </c>
      <c r="X31" s="600"/>
    </row>
    <row r="32" spans="1:24" ht="15" customHeight="1">
      <c r="A32" s="163"/>
      <c r="B32" s="918" t="s">
        <v>206</v>
      </c>
      <c r="C32" s="918"/>
      <c r="D32" s="614"/>
      <c r="E32" s="57">
        <f t="shared" si="4"/>
        <v>-858</v>
      </c>
      <c r="F32" s="63">
        <v>8797</v>
      </c>
      <c r="G32" s="63">
        <v>-9655</v>
      </c>
      <c r="H32" s="175" t="s">
        <v>456</v>
      </c>
      <c r="I32" s="63">
        <f t="shared" si="5"/>
        <v>11361</v>
      </c>
      <c r="J32" s="63">
        <v>7680</v>
      </c>
      <c r="K32" s="63">
        <v>3681</v>
      </c>
      <c r="L32" s="750" t="s">
        <v>268</v>
      </c>
      <c r="M32" s="529"/>
      <c r="N32" s="533" t="s">
        <v>206</v>
      </c>
      <c r="O32" s="290">
        <v>3561</v>
      </c>
      <c r="P32" s="290">
        <v>6363</v>
      </c>
      <c r="Q32" s="305">
        <f>+O32-P32</f>
        <v>-2802</v>
      </c>
      <c r="R32" s="841" t="s">
        <v>639</v>
      </c>
      <c r="S32" s="841"/>
      <c r="T32" s="290">
        <f t="shared" si="6"/>
        <v>3481</v>
      </c>
      <c r="U32" s="290">
        <v>4803</v>
      </c>
      <c r="V32" s="305">
        <f>+T32-U32</f>
        <v>-1322</v>
      </c>
      <c r="W32" s="611" t="s">
        <v>639</v>
      </c>
      <c r="X32" s="600"/>
    </row>
    <row r="33" spans="1:24" ht="15" customHeight="1">
      <c r="A33" s="163"/>
      <c r="B33" s="918" t="s">
        <v>646</v>
      </c>
      <c r="C33" s="918"/>
      <c r="D33" s="614"/>
      <c r="E33" s="303" t="s">
        <v>463</v>
      </c>
      <c r="F33" s="303" t="s">
        <v>463</v>
      </c>
      <c r="G33" s="303" t="s">
        <v>463</v>
      </c>
      <c r="H33" s="303" t="s">
        <v>463</v>
      </c>
      <c r="I33" s="63">
        <f t="shared" si="5"/>
        <v>3543</v>
      </c>
      <c r="J33" s="63">
        <v>3229</v>
      </c>
      <c r="K33" s="63">
        <v>314</v>
      </c>
      <c r="L33" s="750" t="s">
        <v>268</v>
      </c>
      <c r="M33" s="529"/>
      <c r="N33" s="533" t="s">
        <v>208</v>
      </c>
      <c r="O33" s="290">
        <v>3444</v>
      </c>
      <c r="P33" s="290">
        <v>2563</v>
      </c>
      <c r="Q33" s="290">
        <f>+O33-P33</f>
        <v>881</v>
      </c>
      <c r="R33" s="841" t="s">
        <v>7</v>
      </c>
      <c r="S33" s="841"/>
      <c r="T33" s="290">
        <f t="shared" si="6"/>
        <v>1919</v>
      </c>
      <c r="U33" s="290">
        <v>1926</v>
      </c>
      <c r="V33" s="290">
        <f>+T33-U33</f>
        <v>-7</v>
      </c>
      <c r="W33" s="611" t="s">
        <v>658</v>
      </c>
      <c r="X33" s="600"/>
    </row>
    <row r="34" spans="1:24" ht="15" customHeight="1">
      <c r="A34" s="163"/>
      <c r="B34" s="918" t="s">
        <v>655</v>
      </c>
      <c r="C34" s="918"/>
      <c r="D34" s="614"/>
      <c r="E34" s="57">
        <f t="shared" si="4"/>
        <v>184</v>
      </c>
      <c r="F34" s="63">
        <v>748</v>
      </c>
      <c r="G34" s="63">
        <v>-564</v>
      </c>
      <c r="H34" s="175" t="s">
        <v>267</v>
      </c>
      <c r="I34" s="303" t="s">
        <v>463</v>
      </c>
      <c r="J34" s="303" t="s">
        <v>463</v>
      </c>
      <c r="K34" s="303" t="s">
        <v>463</v>
      </c>
      <c r="L34" s="751" t="s">
        <v>463</v>
      </c>
      <c r="M34" s="529"/>
      <c r="N34" s="533" t="s">
        <v>212</v>
      </c>
      <c r="O34" s="290">
        <v>2159</v>
      </c>
      <c r="P34" s="305">
        <v>3924</v>
      </c>
      <c r="Q34" s="305">
        <f t="shared" ref="Q34:Q45" si="7">+O34-P34</f>
        <v>-1765</v>
      </c>
      <c r="R34" s="841" t="s">
        <v>639</v>
      </c>
      <c r="S34" s="841"/>
      <c r="T34" s="290">
        <f t="shared" si="6"/>
        <v>4315</v>
      </c>
      <c r="U34" s="305">
        <v>3535</v>
      </c>
      <c r="V34" s="305">
        <f t="shared" ref="V34:V45" si="8">+T34-U34</f>
        <v>780</v>
      </c>
      <c r="W34" s="611" t="s">
        <v>659</v>
      </c>
      <c r="X34" s="600"/>
    </row>
    <row r="35" spans="1:24" ht="15" customHeight="1">
      <c r="A35" s="163"/>
      <c r="B35" s="945" t="s">
        <v>656</v>
      </c>
      <c r="C35" s="945"/>
      <c r="D35" s="614"/>
      <c r="E35" s="57">
        <f t="shared" si="4"/>
        <v>3892</v>
      </c>
      <c r="F35" s="63">
        <v>2369</v>
      </c>
      <c r="G35" s="63">
        <v>1523</v>
      </c>
      <c r="H35" s="175" t="s">
        <v>268</v>
      </c>
      <c r="I35" s="303" t="s">
        <v>463</v>
      </c>
      <c r="J35" s="303" t="s">
        <v>463</v>
      </c>
      <c r="K35" s="303" t="s">
        <v>463</v>
      </c>
      <c r="L35" s="751" t="s">
        <v>463</v>
      </c>
      <c r="M35" s="529"/>
      <c r="N35" s="533" t="s">
        <v>210</v>
      </c>
      <c r="O35" s="290">
        <v>-1454</v>
      </c>
      <c r="P35" s="305">
        <v>117</v>
      </c>
      <c r="Q35" s="305">
        <f t="shared" si="7"/>
        <v>-1571</v>
      </c>
      <c r="R35" s="841" t="s">
        <v>640</v>
      </c>
      <c r="S35" s="841"/>
      <c r="T35" s="290">
        <f t="shared" si="6"/>
        <v>-853</v>
      </c>
      <c r="U35" s="305">
        <v>-106</v>
      </c>
      <c r="V35" s="305">
        <f t="shared" si="8"/>
        <v>-747</v>
      </c>
      <c r="W35" s="633" t="s">
        <v>660</v>
      </c>
      <c r="X35" s="600"/>
    </row>
    <row r="36" spans="1:24" ht="15" customHeight="1">
      <c r="A36" s="163"/>
      <c r="B36" s="918" t="s">
        <v>212</v>
      </c>
      <c r="C36" s="918"/>
      <c r="D36" s="614"/>
      <c r="E36" s="57">
        <f t="shared" si="4"/>
        <v>3882</v>
      </c>
      <c r="F36" s="63">
        <v>4710</v>
      </c>
      <c r="G36" s="63">
        <v>-828</v>
      </c>
      <c r="H36" s="175" t="s">
        <v>267</v>
      </c>
      <c r="I36" s="63">
        <f t="shared" si="5"/>
        <v>3025</v>
      </c>
      <c r="J36" s="63">
        <v>4112</v>
      </c>
      <c r="K36" s="63">
        <v>-1087</v>
      </c>
      <c r="L36" s="750" t="s">
        <v>267</v>
      </c>
      <c r="M36" s="529"/>
      <c r="N36" s="533" t="s">
        <v>216</v>
      </c>
      <c r="O36" s="290">
        <v>1739</v>
      </c>
      <c r="P36" s="305">
        <v>1506</v>
      </c>
      <c r="Q36" s="305">
        <f t="shared" si="7"/>
        <v>233</v>
      </c>
      <c r="R36" s="841" t="s">
        <v>641</v>
      </c>
      <c r="S36" s="841"/>
      <c r="T36" s="290">
        <f t="shared" si="6"/>
        <v>642</v>
      </c>
      <c r="U36" s="305">
        <v>1014</v>
      </c>
      <c r="V36" s="305">
        <f t="shared" si="8"/>
        <v>-372</v>
      </c>
      <c r="W36" s="611" t="s">
        <v>637</v>
      </c>
      <c r="X36" s="600"/>
    </row>
    <row r="37" spans="1:24" ht="15" customHeight="1">
      <c r="A37" s="163"/>
      <c r="B37" s="918" t="s">
        <v>647</v>
      </c>
      <c r="C37" s="918"/>
      <c r="D37" s="614"/>
      <c r="E37" s="303" t="s">
        <v>463</v>
      </c>
      <c r="F37" s="303" t="s">
        <v>463</v>
      </c>
      <c r="G37" s="303" t="s">
        <v>463</v>
      </c>
      <c r="H37" s="303" t="s">
        <v>463</v>
      </c>
      <c r="I37" s="63">
        <f t="shared" si="5"/>
        <v>-756</v>
      </c>
      <c r="J37" s="63">
        <v>434</v>
      </c>
      <c r="K37" s="63">
        <v>-1190</v>
      </c>
      <c r="L37" s="750" t="s">
        <v>6</v>
      </c>
      <c r="M37" s="45"/>
      <c r="N37" s="534" t="s">
        <v>260</v>
      </c>
      <c r="O37" s="631">
        <v>4302</v>
      </c>
      <c r="P37" s="306">
        <v>4781</v>
      </c>
      <c r="Q37" s="306">
        <f t="shared" si="7"/>
        <v>-479</v>
      </c>
      <c r="R37" s="927" t="s">
        <v>639</v>
      </c>
      <c r="S37" s="927"/>
      <c r="T37" s="631">
        <f t="shared" si="6"/>
        <v>3881</v>
      </c>
      <c r="U37" s="306">
        <v>4044</v>
      </c>
      <c r="V37" s="306">
        <f t="shared" si="8"/>
        <v>-163</v>
      </c>
      <c r="W37" s="632" t="s">
        <v>639</v>
      </c>
      <c r="X37" s="600"/>
    </row>
    <row r="38" spans="1:24" ht="15" customHeight="1">
      <c r="A38" s="163"/>
      <c r="B38" s="918" t="s">
        <v>657</v>
      </c>
      <c r="C38" s="918"/>
      <c r="D38" s="614"/>
      <c r="E38" s="57">
        <f t="shared" si="4"/>
        <v>606</v>
      </c>
      <c r="F38" s="63">
        <v>959</v>
      </c>
      <c r="G38" s="63">
        <v>-353</v>
      </c>
      <c r="H38" s="175" t="s">
        <v>267</v>
      </c>
      <c r="I38" s="303" t="s">
        <v>463</v>
      </c>
      <c r="J38" s="303" t="s">
        <v>463</v>
      </c>
      <c r="K38" s="303" t="s">
        <v>463</v>
      </c>
      <c r="L38" s="751" t="s">
        <v>463</v>
      </c>
      <c r="M38" s="529"/>
      <c r="N38" s="533" t="s">
        <v>218</v>
      </c>
      <c r="O38" s="290">
        <v>768</v>
      </c>
      <c r="P38" s="305">
        <v>1685</v>
      </c>
      <c r="Q38" s="305">
        <f t="shared" si="7"/>
        <v>-917</v>
      </c>
      <c r="R38" s="841" t="s">
        <v>637</v>
      </c>
      <c r="S38" s="841"/>
      <c r="T38" s="290">
        <f t="shared" si="6"/>
        <v>1443</v>
      </c>
      <c r="U38" s="305">
        <v>1341</v>
      </c>
      <c r="V38" s="305">
        <f t="shared" si="8"/>
        <v>102</v>
      </c>
      <c r="W38" s="611" t="s">
        <v>7</v>
      </c>
      <c r="X38" s="600"/>
    </row>
    <row r="39" spans="1:24" ht="15" customHeight="1">
      <c r="A39" s="163"/>
      <c r="B39" s="918" t="s">
        <v>216</v>
      </c>
      <c r="C39" s="918"/>
      <c r="D39" s="614"/>
      <c r="E39" s="57">
        <f t="shared" si="4"/>
        <v>1525</v>
      </c>
      <c r="F39" s="63">
        <v>1441</v>
      </c>
      <c r="G39" s="63">
        <v>84</v>
      </c>
      <c r="H39" s="175" t="s">
        <v>268</v>
      </c>
      <c r="I39" s="63">
        <f t="shared" si="5"/>
        <v>1881</v>
      </c>
      <c r="J39" s="63">
        <v>1254</v>
      </c>
      <c r="K39" s="63">
        <v>627</v>
      </c>
      <c r="L39" s="750" t="s">
        <v>268</v>
      </c>
      <c r="M39" s="529"/>
      <c r="N39" s="533" t="s">
        <v>220</v>
      </c>
      <c r="O39" s="290">
        <v>1504</v>
      </c>
      <c r="P39" s="305">
        <v>1457</v>
      </c>
      <c r="Q39" s="305">
        <f t="shared" si="7"/>
        <v>47</v>
      </c>
      <c r="R39" s="841" t="s">
        <v>641</v>
      </c>
      <c r="S39" s="841"/>
      <c r="T39" s="290">
        <f t="shared" si="6"/>
        <v>1227</v>
      </c>
      <c r="U39" s="305">
        <v>1405</v>
      </c>
      <c r="V39" s="305">
        <f t="shared" si="8"/>
        <v>-178</v>
      </c>
      <c r="W39" s="611" t="s">
        <v>637</v>
      </c>
      <c r="X39" s="600"/>
    </row>
    <row r="40" spans="1:24" ht="15" customHeight="1">
      <c r="A40" s="163"/>
      <c r="B40" s="923" t="s">
        <v>260</v>
      </c>
      <c r="C40" s="923"/>
      <c r="D40" s="615"/>
      <c r="E40" s="65">
        <f t="shared" si="4"/>
        <v>6732</v>
      </c>
      <c r="F40" s="66">
        <v>6416</v>
      </c>
      <c r="G40" s="66">
        <v>316</v>
      </c>
      <c r="H40" s="176" t="s">
        <v>268</v>
      </c>
      <c r="I40" s="66">
        <f t="shared" si="5"/>
        <v>3315</v>
      </c>
      <c r="J40" s="66">
        <v>5585</v>
      </c>
      <c r="K40" s="66">
        <v>-2270</v>
      </c>
      <c r="L40" s="752" t="s">
        <v>267</v>
      </c>
      <c r="M40" s="529"/>
      <c r="N40" s="533" t="s">
        <v>222</v>
      </c>
      <c r="O40" s="290">
        <v>3849</v>
      </c>
      <c r="P40" s="305">
        <v>4852</v>
      </c>
      <c r="Q40" s="305">
        <f t="shared" si="7"/>
        <v>-1003</v>
      </c>
      <c r="R40" s="841" t="s">
        <v>637</v>
      </c>
      <c r="S40" s="841"/>
      <c r="T40" s="290">
        <f t="shared" si="6"/>
        <v>9030</v>
      </c>
      <c r="U40" s="305">
        <v>4043</v>
      </c>
      <c r="V40" s="305">
        <f t="shared" si="8"/>
        <v>4987</v>
      </c>
      <c r="W40" s="611" t="s">
        <v>638</v>
      </c>
      <c r="X40" s="600"/>
    </row>
    <row r="41" spans="1:24" ht="15" customHeight="1">
      <c r="A41" s="163"/>
      <c r="B41" s="918" t="s">
        <v>218</v>
      </c>
      <c r="C41" s="918"/>
      <c r="D41" s="614"/>
      <c r="E41" s="57">
        <f t="shared" si="4"/>
        <v>2651</v>
      </c>
      <c r="F41" s="63">
        <v>1815</v>
      </c>
      <c r="G41" s="63">
        <v>836</v>
      </c>
      <c r="H41" s="175" t="s">
        <v>268</v>
      </c>
      <c r="I41" s="63">
        <f t="shared" si="5"/>
        <v>2857</v>
      </c>
      <c r="J41" s="63">
        <v>1688</v>
      </c>
      <c r="K41" s="63">
        <v>1169</v>
      </c>
      <c r="L41" s="750" t="s">
        <v>268</v>
      </c>
      <c r="M41" s="529"/>
      <c r="N41" s="533" t="s">
        <v>224</v>
      </c>
      <c r="O41" s="290">
        <v>4745</v>
      </c>
      <c r="P41" s="305">
        <v>2724</v>
      </c>
      <c r="Q41" s="305">
        <f t="shared" si="7"/>
        <v>2021</v>
      </c>
      <c r="R41" s="841" t="s">
        <v>7</v>
      </c>
      <c r="S41" s="841"/>
      <c r="T41" s="290">
        <f t="shared" si="6"/>
        <v>3858</v>
      </c>
      <c r="U41" s="305">
        <v>2827</v>
      </c>
      <c r="V41" s="305">
        <f t="shared" si="8"/>
        <v>1031</v>
      </c>
      <c r="W41" s="611" t="s">
        <v>7</v>
      </c>
      <c r="X41" s="600"/>
    </row>
    <row r="42" spans="1:24" ht="15" customHeight="1">
      <c r="A42" s="163"/>
      <c r="B42" s="918" t="s">
        <v>220</v>
      </c>
      <c r="C42" s="918"/>
      <c r="D42" s="614"/>
      <c r="E42" s="57">
        <f t="shared" si="4"/>
        <v>1478</v>
      </c>
      <c r="F42" s="63">
        <v>2041</v>
      </c>
      <c r="G42" s="63">
        <v>-563</v>
      </c>
      <c r="H42" s="175" t="s">
        <v>267</v>
      </c>
      <c r="I42" s="63">
        <f t="shared" si="5"/>
        <v>842</v>
      </c>
      <c r="J42" s="63">
        <v>1584</v>
      </c>
      <c r="K42" s="63">
        <v>-742</v>
      </c>
      <c r="L42" s="750" t="s">
        <v>267</v>
      </c>
      <c r="M42" s="529"/>
      <c r="N42" s="605" t="s">
        <v>654</v>
      </c>
      <c r="O42" s="303" t="s">
        <v>463</v>
      </c>
      <c r="P42" s="303" t="s">
        <v>463</v>
      </c>
      <c r="Q42" s="303" t="s">
        <v>463</v>
      </c>
      <c r="R42" s="303"/>
      <c r="S42" s="303" t="s">
        <v>463</v>
      </c>
      <c r="T42" s="290">
        <f t="shared" si="6"/>
        <v>2258</v>
      </c>
      <c r="U42" s="305">
        <v>-10</v>
      </c>
      <c r="V42" s="305">
        <f>+T42-U42</f>
        <v>2268</v>
      </c>
      <c r="W42" s="611" t="s">
        <v>661</v>
      </c>
      <c r="X42" s="600"/>
    </row>
    <row r="43" spans="1:24" ht="15" customHeight="1">
      <c r="A43" s="163"/>
      <c r="B43" s="918" t="s">
        <v>222</v>
      </c>
      <c r="C43" s="918"/>
      <c r="D43" s="614"/>
      <c r="E43" s="57">
        <f t="shared" si="4"/>
        <v>4350</v>
      </c>
      <c r="F43" s="63">
        <v>5722</v>
      </c>
      <c r="G43" s="63">
        <v>-1372</v>
      </c>
      <c r="H43" s="175" t="s">
        <v>267</v>
      </c>
      <c r="I43" s="63">
        <f t="shared" si="5"/>
        <v>6714</v>
      </c>
      <c r="J43" s="63">
        <v>5426</v>
      </c>
      <c r="K43" s="63">
        <v>1288</v>
      </c>
      <c r="L43" s="750" t="s">
        <v>268</v>
      </c>
      <c r="M43" s="529"/>
      <c r="N43" s="533" t="s">
        <v>204</v>
      </c>
      <c r="O43" s="290">
        <v>1033</v>
      </c>
      <c r="P43" s="305">
        <v>1131</v>
      </c>
      <c r="Q43" s="305">
        <f t="shared" si="7"/>
        <v>-98</v>
      </c>
      <c r="R43" s="841" t="s">
        <v>637</v>
      </c>
      <c r="S43" s="841"/>
      <c r="T43" s="290">
        <f t="shared" si="6"/>
        <v>-258</v>
      </c>
      <c r="U43" s="305">
        <v>898</v>
      </c>
      <c r="V43" s="305">
        <f t="shared" si="8"/>
        <v>-1156</v>
      </c>
      <c r="W43" s="611" t="s">
        <v>662</v>
      </c>
      <c r="X43" s="600"/>
    </row>
    <row r="44" spans="1:24" ht="15" customHeight="1">
      <c r="A44" s="163"/>
      <c r="B44" s="918" t="s">
        <v>204</v>
      </c>
      <c r="C44" s="918"/>
      <c r="D44" s="614"/>
      <c r="E44" s="57">
        <f t="shared" si="4"/>
        <v>4261</v>
      </c>
      <c r="F44" s="63">
        <v>1449</v>
      </c>
      <c r="G44" s="63">
        <v>2812</v>
      </c>
      <c r="H44" s="175" t="s">
        <v>269</v>
      </c>
      <c r="I44" s="63">
        <f t="shared" si="5"/>
        <v>2318</v>
      </c>
      <c r="J44" s="63">
        <v>2541</v>
      </c>
      <c r="K44" s="63">
        <v>-223</v>
      </c>
      <c r="L44" s="750" t="s">
        <v>267</v>
      </c>
      <c r="M44" s="529"/>
      <c r="N44" s="533" t="s">
        <v>205</v>
      </c>
      <c r="O44" s="290">
        <v>975</v>
      </c>
      <c r="P44" s="305">
        <v>379</v>
      </c>
      <c r="Q44" s="305">
        <f t="shared" si="7"/>
        <v>596</v>
      </c>
      <c r="R44" s="841" t="s">
        <v>638</v>
      </c>
      <c r="S44" s="841"/>
      <c r="T44" s="290">
        <f t="shared" si="6"/>
        <v>2092</v>
      </c>
      <c r="U44" s="305">
        <v>677</v>
      </c>
      <c r="V44" s="305">
        <f t="shared" si="8"/>
        <v>1415</v>
      </c>
      <c r="W44" s="611" t="s">
        <v>638</v>
      </c>
      <c r="X44" s="600"/>
    </row>
    <row r="45" spans="1:24" ht="15" customHeight="1" thickBot="1">
      <c r="A45" s="163"/>
      <c r="B45" s="918" t="s">
        <v>270</v>
      </c>
      <c r="C45" s="918"/>
      <c r="D45" s="614"/>
      <c r="E45" s="57">
        <f t="shared" si="4"/>
        <v>4945</v>
      </c>
      <c r="F45" s="63">
        <v>2659</v>
      </c>
      <c r="G45" s="63">
        <v>2286</v>
      </c>
      <c r="H45" s="175" t="s">
        <v>268</v>
      </c>
      <c r="I45" s="63">
        <f t="shared" si="5"/>
        <v>956</v>
      </c>
      <c r="J45" s="63">
        <v>1356</v>
      </c>
      <c r="K45" s="63">
        <v>-400</v>
      </c>
      <c r="L45" s="750" t="s">
        <v>267</v>
      </c>
      <c r="M45" s="529"/>
      <c r="N45" s="178" t="s">
        <v>209</v>
      </c>
      <c r="O45" s="363">
        <v>1707</v>
      </c>
      <c r="P45" s="307">
        <v>1577</v>
      </c>
      <c r="Q45" s="307">
        <f t="shared" si="7"/>
        <v>130</v>
      </c>
      <c r="R45" s="911" t="s">
        <v>642</v>
      </c>
      <c r="S45" s="911"/>
      <c r="T45" s="363">
        <f t="shared" si="6"/>
        <v>2258</v>
      </c>
      <c r="U45" s="307">
        <v>1657</v>
      </c>
      <c r="V45" s="307">
        <f t="shared" si="8"/>
        <v>601</v>
      </c>
      <c r="W45" s="612" t="s">
        <v>642</v>
      </c>
      <c r="X45" s="600"/>
    </row>
    <row r="46" spans="1:24" ht="15" customHeight="1">
      <c r="A46" s="163"/>
      <c r="B46" s="918" t="s">
        <v>205</v>
      </c>
      <c r="C46" s="918"/>
      <c r="D46" s="614"/>
      <c r="E46" s="57">
        <f t="shared" si="4"/>
        <v>259</v>
      </c>
      <c r="F46" s="63">
        <v>518</v>
      </c>
      <c r="G46" s="63">
        <v>-259</v>
      </c>
      <c r="H46" s="175" t="s">
        <v>267</v>
      </c>
      <c r="I46" s="63">
        <f t="shared" si="5"/>
        <v>234</v>
      </c>
      <c r="J46" s="63">
        <v>415</v>
      </c>
      <c r="K46" s="63">
        <v>-181</v>
      </c>
      <c r="L46" s="750" t="s">
        <v>267</v>
      </c>
      <c r="M46" s="47"/>
      <c r="N46" s="63"/>
      <c r="O46" s="63"/>
      <c r="P46" s="63"/>
      <c r="Q46" s="527"/>
      <c r="R46" s="527"/>
      <c r="S46" s="527"/>
      <c r="T46" s="57"/>
      <c r="U46" s="57"/>
      <c r="V46" s="63"/>
      <c r="W46" s="7" t="s">
        <v>663</v>
      </c>
    </row>
    <row r="47" spans="1:24" ht="15" customHeight="1" thickBot="1">
      <c r="A47" s="165"/>
      <c r="B47" s="922" t="s">
        <v>209</v>
      </c>
      <c r="C47" s="922"/>
      <c r="D47" s="616"/>
      <c r="E47" s="172">
        <f t="shared" si="4"/>
        <v>1850</v>
      </c>
      <c r="F47" s="173">
        <v>1628</v>
      </c>
      <c r="G47" s="173">
        <v>222</v>
      </c>
      <c r="H47" s="177" t="s">
        <v>268</v>
      </c>
      <c r="I47" s="173">
        <f t="shared" si="5"/>
        <v>1438</v>
      </c>
      <c r="J47" s="173">
        <v>1580</v>
      </c>
      <c r="K47" s="173">
        <v>-142</v>
      </c>
      <c r="L47" s="753" t="s">
        <v>267</v>
      </c>
      <c r="M47" s="5" t="s">
        <v>272</v>
      </c>
      <c r="N47" s="53"/>
      <c r="O47" s="53"/>
      <c r="P47" s="53"/>
      <c r="Q47" s="53"/>
      <c r="R47" s="53"/>
      <c r="S47" s="53"/>
      <c r="T47" s="53"/>
      <c r="U47" s="53"/>
      <c r="V47" s="53"/>
    </row>
    <row r="48" spans="1:24" ht="15" customHeight="1">
      <c r="A48" s="47"/>
      <c r="B48" s="29" t="s">
        <v>271</v>
      </c>
      <c r="C48" s="44"/>
      <c r="D48" s="29"/>
      <c r="E48" s="57"/>
      <c r="F48" s="57"/>
      <c r="G48" s="57"/>
      <c r="H48" s="64"/>
      <c r="I48" s="57"/>
      <c r="J48" s="57"/>
      <c r="K48" s="57"/>
      <c r="L48" s="64"/>
      <c r="M48" s="5" t="s">
        <v>273</v>
      </c>
      <c r="N48" s="53"/>
      <c r="O48" s="53"/>
      <c r="P48" s="53"/>
      <c r="Q48" s="53"/>
      <c r="R48" s="53"/>
      <c r="S48" s="53"/>
      <c r="T48" s="53"/>
      <c r="U48" s="53"/>
      <c r="V48" s="53"/>
      <c r="W48" s="53"/>
    </row>
    <row r="49" spans="2:23" ht="15" customHeight="1">
      <c r="B49" s="924" t="s">
        <v>653</v>
      </c>
      <c r="C49" s="5" t="s">
        <v>650</v>
      </c>
      <c r="D49" s="5"/>
      <c r="E49" s="53"/>
      <c r="F49" s="53"/>
      <c r="G49" s="53"/>
      <c r="H49" s="53"/>
      <c r="I49" s="53"/>
      <c r="J49" s="53"/>
      <c r="K49" s="53"/>
      <c r="L49" s="54"/>
      <c r="M49" s="67" t="s">
        <v>274</v>
      </c>
      <c r="N49" s="67"/>
      <c r="O49" s="67"/>
      <c r="P49" s="67"/>
      <c r="Q49" s="67"/>
      <c r="S49" s="920" t="s">
        <v>275</v>
      </c>
      <c r="T49" s="920"/>
      <c r="U49" s="920"/>
      <c r="V49" s="920"/>
    </row>
    <row r="50" spans="2:23" ht="15" customHeight="1">
      <c r="B50" s="924"/>
      <c r="C50" s="5" t="s">
        <v>648</v>
      </c>
      <c r="D50" s="5"/>
      <c r="E50" s="53"/>
      <c r="F50" s="53"/>
      <c r="G50" s="53"/>
      <c r="H50" s="53"/>
      <c r="I50" s="53"/>
      <c r="J50" s="53"/>
      <c r="K50" s="53"/>
      <c r="L50" s="54"/>
      <c r="M50" s="67" t="s">
        <v>276</v>
      </c>
      <c r="N50" s="67"/>
      <c r="O50" s="67"/>
      <c r="P50" s="67"/>
      <c r="Q50" s="67"/>
      <c r="R50" s="53"/>
      <c r="S50" s="920" t="s">
        <v>277</v>
      </c>
      <c r="T50" s="920"/>
      <c r="U50" s="920"/>
      <c r="V50" s="920"/>
      <c r="W50" s="53"/>
    </row>
    <row r="51" spans="2:23" ht="15" customHeight="1">
      <c r="B51" s="924"/>
      <c r="C51" s="5" t="s">
        <v>649</v>
      </c>
      <c r="D51" s="5"/>
      <c r="E51" s="53"/>
      <c r="F51" s="53"/>
      <c r="G51" s="53"/>
      <c r="H51" s="53"/>
      <c r="I51" s="53"/>
      <c r="J51" s="53"/>
      <c r="K51" s="53"/>
      <c r="L51" s="54"/>
      <c r="M51" s="67" t="s">
        <v>278</v>
      </c>
      <c r="N51" s="67"/>
      <c r="O51" s="67"/>
      <c r="P51" s="67"/>
      <c r="Q51" s="67"/>
      <c r="R51" s="529"/>
      <c r="S51" s="920" t="s">
        <v>279</v>
      </c>
      <c r="T51" s="920"/>
      <c r="U51" s="920"/>
      <c r="V51" s="920"/>
      <c r="W51" s="529"/>
    </row>
    <row r="52" spans="2:23" ht="15" customHeight="1">
      <c r="B52" s="924"/>
      <c r="C52" s="5" t="s">
        <v>651</v>
      </c>
      <c r="D52" s="5"/>
      <c r="E52" s="53"/>
      <c r="F52" s="53"/>
      <c r="G52" s="53"/>
      <c r="H52" s="53"/>
      <c r="I52" s="53"/>
      <c r="J52" s="53"/>
      <c r="K52" s="53"/>
      <c r="L52" s="54"/>
      <c r="M52" s="919" t="s">
        <v>280</v>
      </c>
      <c r="N52" s="919"/>
      <c r="O52" s="919"/>
      <c r="P52" s="919"/>
      <c r="Q52" s="919"/>
      <c r="R52" s="529"/>
      <c r="S52" s="920" t="s">
        <v>281</v>
      </c>
      <c r="T52" s="920"/>
      <c r="U52" s="920"/>
      <c r="V52" s="920"/>
      <c r="W52" s="529"/>
    </row>
    <row r="53" spans="2:23" ht="15" customHeight="1">
      <c r="B53" s="924"/>
      <c r="C53" s="5" t="s">
        <v>652</v>
      </c>
      <c r="D53" s="5"/>
      <c r="E53" s="53"/>
      <c r="F53" s="53"/>
      <c r="G53" s="53"/>
      <c r="H53" s="53"/>
      <c r="I53" s="53"/>
      <c r="J53" s="53"/>
      <c r="K53" s="53"/>
      <c r="L53" s="54"/>
    </row>
  </sheetData>
  <sheetProtection selectLockedCells="1" selectUnlockedCells="1"/>
  <mergeCells count="151">
    <mergeCell ref="W18:X18"/>
    <mergeCell ref="W19:X19"/>
    <mergeCell ref="W20:X20"/>
    <mergeCell ref="W21:X21"/>
    <mergeCell ref="W22:X22"/>
    <mergeCell ref="W23:X23"/>
    <mergeCell ref="W9:X9"/>
    <mergeCell ref="W10:X10"/>
    <mergeCell ref="W11:X11"/>
    <mergeCell ref="W12:X12"/>
    <mergeCell ref="W13:X13"/>
    <mergeCell ref="W14:X14"/>
    <mergeCell ref="W15:X15"/>
    <mergeCell ref="W16:X16"/>
    <mergeCell ref="W17:X17"/>
    <mergeCell ref="B19:C19"/>
    <mergeCell ref="B18:C18"/>
    <mergeCell ref="G18:H18"/>
    <mergeCell ref="G17:H17"/>
    <mergeCell ref="G16:H16"/>
    <mergeCell ref="R18:S18"/>
    <mergeCell ref="I15:J15"/>
    <mergeCell ref="R16:S16"/>
    <mergeCell ref="I16:J16"/>
    <mergeCell ref="B16:C16"/>
    <mergeCell ref="E16:F16"/>
    <mergeCell ref="B17:C17"/>
    <mergeCell ref="B15:C15"/>
    <mergeCell ref="E15:F15"/>
    <mergeCell ref="R15:S15"/>
    <mergeCell ref="B14:C14"/>
    <mergeCell ref="A4:L4"/>
    <mergeCell ref="N4:W4"/>
    <mergeCell ref="A5:L5"/>
    <mergeCell ref="N5:W5"/>
    <mergeCell ref="E12:F12"/>
    <mergeCell ref="B13:C13"/>
    <mergeCell ref="G9:H9"/>
    <mergeCell ref="R8:S8"/>
    <mergeCell ref="I8:J8"/>
    <mergeCell ref="A7:D8"/>
    <mergeCell ref="R13:S13"/>
    <mergeCell ref="I13:J13"/>
    <mergeCell ref="I12:J12"/>
    <mergeCell ref="U7:V7"/>
    <mergeCell ref="I10:J10"/>
    <mergeCell ref="B12:C12"/>
    <mergeCell ref="E9:F9"/>
    <mergeCell ref="B9:C9"/>
    <mergeCell ref="E7:F8"/>
    <mergeCell ref="B10:C10"/>
    <mergeCell ref="E10:F10"/>
    <mergeCell ref="G10:H10"/>
    <mergeCell ref="O7:P7"/>
    <mergeCell ref="I7:L7"/>
    <mergeCell ref="Q7:T7"/>
    <mergeCell ref="R10:S10"/>
    <mergeCell ref="I11:J11"/>
    <mergeCell ref="R11:S11"/>
    <mergeCell ref="G7:H8"/>
    <mergeCell ref="B11:C11"/>
    <mergeCell ref="E11:F11"/>
    <mergeCell ref="G11:H11"/>
    <mergeCell ref="I9:J9"/>
    <mergeCell ref="R14:S14"/>
    <mergeCell ref="R9:S9"/>
    <mergeCell ref="I14:J14"/>
    <mergeCell ref="E14:F14"/>
    <mergeCell ref="G14:H14"/>
    <mergeCell ref="G15:H15"/>
    <mergeCell ref="E29:H29"/>
    <mergeCell ref="I18:J18"/>
    <mergeCell ref="R17:S17"/>
    <mergeCell ref="I17:J17"/>
    <mergeCell ref="R12:S12"/>
    <mergeCell ref="E19:F19"/>
    <mergeCell ref="G19:H19"/>
    <mergeCell ref="E17:F17"/>
    <mergeCell ref="G12:H12"/>
    <mergeCell ref="E13:F13"/>
    <mergeCell ref="G13:H13"/>
    <mergeCell ref="I19:J19"/>
    <mergeCell ref="R19:S19"/>
    <mergeCell ref="E18:F18"/>
    <mergeCell ref="B26:J26"/>
    <mergeCell ref="R20:S20"/>
    <mergeCell ref="E20:F20"/>
    <mergeCell ref="I20:J20"/>
    <mergeCell ref="B20:C20"/>
    <mergeCell ref="G20:H20"/>
    <mergeCell ref="B24:K24"/>
    <mergeCell ref="I29:L29"/>
    <mergeCell ref="B21:C21"/>
    <mergeCell ref="E23:F23"/>
    <mergeCell ref="B36:C36"/>
    <mergeCell ref="B35:C35"/>
    <mergeCell ref="B31:C31"/>
    <mergeCell ref="B32:C32"/>
    <mergeCell ref="R21:S21"/>
    <mergeCell ref="I22:J22"/>
    <mergeCell ref="R24:S24"/>
    <mergeCell ref="E21:F21"/>
    <mergeCell ref="G21:H21"/>
    <mergeCell ref="I21:J21"/>
    <mergeCell ref="I23:J23"/>
    <mergeCell ref="A29:D30"/>
    <mergeCell ref="B34:C34"/>
    <mergeCell ref="N29:N30"/>
    <mergeCell ref="B23:C23"/>
    <mergeCell ref="E22:F22"/>
    <mergeCell ref="G22:H22"/>
    <mergeCell ref="G23:H23"/>
    <mergeCell ref="B22:C22"/>
    <mergeCell ref="R23:S23"/>
    <mergeCell ref="B33:C33"/>
    <mergeCell ref="B27:K27"/>
    <mergeCell ref="B41:C41"/>
    <mergeCell ref="M52:Q52"/>
    <mergeCell ref="S52:V52"/>
    <mergeCell ref="S49:V49"/>
    <mergeCell ref="S51:V51"/>
    <mergeCell ref="S50:V50"/>
    <mergeCell ref="R22:S22"/>
    <mergeCell ref="B38:C38"/>
    <mergeCell ref="B46:C46"/>
    <mergeCell ref="B39:C39"/>
    <mergeCell ref="B47:C47"/>
    <mergeCell ref="B40:C40"/>
    <mergeCell ref="B45:C45"/>
    <mergeCell ref="B44:C44"/>
    <mergeCell ref="B42:C42"/>
    <mergeCell ref="B43:C43"/>
    <mergeCell ref="B37:C37"/>
    <mergeCell ref="B49:B53"/>
    <mergeCell ref="T29:W29"/>
    <mergeCell ref="R37:S37"/>
    <mergeCell ref="R38:S38"/>
    <mergeCell ref="R39:S39"/>
    <mergeCell ref="R40:S40"/>
    <mergeCell ref="R41:S41"/>
    <mergeCell ref="R43:S43"/>
    <mergeCell ref="R44:S44"/>
    <mergeCell ref="R45:S45"/>
    <mergeCell ref="R30:S30"/>
    <mergeCell ref="O29:S29"/>
    <mergeCell ref="R31:S31"/>
    <mergeCell ref="R32:S32"/>
    <mergeCell ref="R33:S33"/>
    <mergeCell ref="R34:S34"/>
    <mergeCell ref="R35:S35"/>
    <mergeCell ref="R36:S36"/>
  </mergeCells>
  <phoneticPr fontId="19"/>
  <printOptions horizontalCentered="1"/>
  <pageMargins left="0.59055118110236227" right="0.59055118110236227" top="0.59055118110236227" bottom="0.59055118110236227" header="0.39370078740157483" footer="0.39370078740157483"/>
  <pageSetup paperSize="9" scale="99" firstPageNumber="0" orientation="portrait" r:id="rId1"/>
  <headerFooter scaleWithDoc="0" alignWithMargins="0">
    <oddHeader>&amp;L&amp;"ＭＳ 明朝,標準"&amp;10人　口</oddHeader>
    <oddFooter>&amp;C&amp;"ＭＳ 明朝,標準"&amp;12&amp;A</oddFooter>
  </headerFooter>
  <colBreaks count="1" manualBreakCount="1">
    <brk id="1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3"/>
  <sheetViews>
    <sheetView view="pageBreakPreview" topLeftCell="A31" zoomScaleNormal="100" zoomScaleSheetLayoutView="100" workbookViewId="0">
      <pane xSplit="4" topLeftCell="E1" activePane="topRight" state="frozen"/>
      <selection activeCell="I243" sqref="I243"/>
      <selection pane="topRight" activeCell="I243" sqref="I243"/>
    </sheetView>
  </sheetViews>
  <sheetFormatPr defaultRowHeight="15" customHeight="1"/>
  <cols>
    <col min="1" max="1" width="1.25" style="46" customWidth="1"/>
    <col min="2" max="2" width="8.375" style="46" customWidth="1"/>
    <col min="3" max="3" width="5" style="46" customWidth="1"/>
    <col min="4" max="4" width="1.25" style="46" customWidth="1"/>
    <col min="5" max="11" width="9.5" style="46" customWidth="1"/>
    <col min="12" max="12" width="9.5" style="47" customWidth="1"/>
    <col min="13" max="13" width="0.875" style="46" customWidth="1"/>
    <col min="14" max="14" width="11.125" style="46" customWidth="1"/>
    <col min="15" max="15" width="9.5" style="46" customWidth="1"/>
    <col min="16" max="16" width="9.625" style="46" customWidth="1"/>
    <col min="17" max="17" width="9.5" style="46" customWidth="1"/>
    <col min="18" max="19" width="4.625" style="46" customWidth="1"/>
    <col min="20" max="22" width="9.875" style="46" customWidth="1"/>
    <col min="23" max="23" width="12.75" style="46" customWidth="1"/>
    <col min="24" max="24" width="15" style="46" customWidth="1"/>
    <col min="25" max="16384" width="9" style="46"/>
  </cols>
  <sheetData>
    <row r="1" spans="1:24" ht="4.5" customHeight="1">
      <c r="A1" s="48"/>
      <c r="B1" s="49"/>
      <c r="C1" s="50"/>
      <c r="D1" s="50"/>
      <c r="E1" s="50"/>
      <c r="F1" s="50"/>
      <c r="G1" s="50"/>
      <c r="H1" s="50"/>
      <c r="I1" s="50"/>
      <c r="J1" s="50"/>
      <c r="K1" s="50"/>
      <c r="L1" s="50"/>
    </row>
    <row r="2" spans="1:24" ht="15" customHeight="1">
      <c r="A2" s="48" t="s">
        <v>670</v>
      </c>
      <c r="B2" s="49"/>
      <c r="C2" s="50"/>
      <c r="D2" s="50"/>
      <c r="E2" s="50"/>
      <c r="F2" s="50"/>
      <c r="G2" s="50"/>
      <c r="H2" s="50"/>
      <c r="I2" s="50"/>
      <c r="J2" s="50"/>
      <c r="K2" s="50"/>
      <c r="L2" s="50"/>
    </row>
    <row r="3" spans="1:24" ht="4.5" customHeight="1">
      <c r="A3" s="48"/>
      <c r="B3" s="49"/>
      <c r="C3" s="50"/>
      <c r="D3" s="50"/>
      <c r="E3" s="50"/>
      <c r="F3" s="50"/>
      <c r="G3" s="50"/>
      <c r="H3" s="50"/>
      <c r="I3" s="50"/>
      <c r="J3" s="50"/>
      <c r="K3" s="50"/>
      <c r="L3" s="50"/>
    </row>
    <row r="4" spans="1:24" s="51" customFormat="1" ht="86.25" customHeight="1">
      <c r="A4" s="955" t="s">
        <v>671</v>
      </c>
      <c r="B4" s="955"/>
      <c r="C4" s="955"/>
      <c r="D4" s="955"/>
      <c r="E4" s="955"/>
      <c r="F4" s="955"/>
      <c r="G4" s="955"/>
      <c r="H4" s="955"/>
      <c r="I4" s="955"/>
      <c r="J4" s="955"/>
      <c r="K4" s="955"/>
      <c r="L4" s="955"/>
      <c r="N4" s="955" t="s">
        <v>714</v>
      </c>
      <c r="O4" s="955"/>
      <c r="P4" s="955"/>
      <c r="Q4" s="955"/>
      <c r="R4" s="955"/>
      <c r="S4" s="955"/>
      <c r="T4" s="955"/>
      <c r="U4" s="955"/>
      <c r="V4" s="955"/>
      <c r="W4" s="955"/>
    </row>
    <row r="5" spans="1:24" ht="10.5" customHeight="1">
      <c r="A5" s="956"/>
      <c r="B5" s="956"/>
      <c r="C5" s="956"/>
      <c r="D5" s="956"/>
      <c r="E5" s="956"/>
      <c r="F5" s="956"/>
      <c r="G5" s="956"/>
      <c r="H5" s="956"/>
      <c r="I5" s="956"/>
      <c r="J5" s="956"/>
      <c r="K5" s="956"/>
      <c r="L5" s="956"/>
      <c r="M5" s="52"/>
      <c r="N5" s="957"/>
      <c r="O5" s="957"/>
      <c r="P5" s="957"/>
      <c r="Q5" s="957"/>
      <c r="R5" s="957"/>
      <c r="S5" s="957"/>
      <c r="T5" s="957"/>
      <c r="U5" s="957"/>
      <c r="V5" s="957"/>
      <c r="W5" s="957"/>
    </row>
    <row r="6" spans="1:24" ht="15" customHeight="1" thickBot="1">
      <c r="B6" s="5" t="s">
        <v>664</v>
      </c>
      <c r="C6" s="5"/>
      <c r="D6" s="5"/>
      <c r="E6" s="53"/>
      <c r="F6" s="53"/>
      <c r="G6" s="53"/>
      <c r="I6" s="53"/>
      <c r="K6" s="53"/>
      <c r="L6" s="54"/>
      <c r="N6" s="5" t="s">
        <v>665</v>
      </c>
    </row>
    <row r="7" spans="1:24" ht="15" customHeight="1">
      <c r="A7" s="932" t="s">
        <v>250</v>
      </c>
      <c r="B7" s="933"/>
      <c r="C7" s="933"/>
      <c r="D7" s="933"/>
      <c r="E7" s="933" t="s">
        <v>251</v>
      </c>
      <c r="F7" s="933"/>
      <c r="G7" s="933" t="s">
        <v>252</v>
      </c>
      <c r="H7" s="933"/>
      <c r="I7" s="933" t="s">
        <v>253</v>
      </c>
      <c r="J7" s="933"/>
      <c r="K7" s="933"/>
      <c r="L7" s="952"/>
      <c r="M7" s="47"/>
      <c r="N7" s="778" t="s">
        <v>254</v>
      </c>
      <c r="O7" s="961" t="s">
        <v>669</v>
      </c>
      <c r="P7" s="962"/>
      <c r="Q7" s="949" t="s">
        <v>255</v>
      </c>
      <c r="R7" s="942"/>
      <c r="S7" s="942"/>
      <c r="T7" s="953"/>
      <c r="U7" s="846" t="s">
        <v>256</v>
      </c>
      <c r="V7" s="960"/>
      <c r="W7" s="623"/>
    </row>
    <row r="8" spans="1:24" ht="15" customHeight="1">
      <c r="A8" s="934"/>
      <c r="B8" s="935"/>
      <c r="C8" s="935"/>
      <c r="D8" s="935"/>
      <c r="E8" s="935"/>
      <c r="F8" s="935"/>
      <c r="G8" s="935"/>
      <c r="H8" s="935"/>
      <c r="I8" s="959" t="s">
        <v>20</v>
      </c>
      <c r="J8" s="959"/>
      <c r="K8" s="621" t="s">
        <v>21</v>
      </c>
      <c r="L8" s="587" t="s">
        <v>22</v>
      </c>
      <c r="M8" s="529"/>
      <c r="N8" s="536" t="s">
        <v>603</v>
      </c>
      <c r="O8" s="618" t="s">
        <v>257</v>
      </c>
      <c r="P8" s="618" t="s">
        <v>258</v>
      </c>
      <c r="Q8" s="624" t="s">
        <v>666</v>
      </c>
      <c r="R8" s="847" t="s">
        <v>667</v>
      </c>
      <c r="S8" s="958"/>
      <c r="T8" s="618" t="s">
        <v>259</v>
      </c>
      <c r="U8" s="700" t="s">
        <v>26</v>
      </c>
      <c r="V8" s="266" t="s">
        <v>668</v>
      </c>
    </row>
    <row r="9" spans="1:24" ht="15" customHeight="1">
      <c r="A9" s="163"/>
      <c r="B9" s="918" t="s">
        <v>246</v>
      </c>
      <c r="C9" s="918"/>
      <c r="D9" s="100"/>
      <c r="E9" s="930">
        <v>2281.12</v>
      </c>
      <c r="F9" s="930"/>
      <c r="G9" s="954">
        <v>560424</v>
      </c>
      <c r="H9" s="954"/>
      <c r="I9" s="954">
        <v>1433566</v>
      </c>
      <c r="J9" s="954"/>
      <c r="K9" s="619">
        <v>704619</v>
      </c>
      <c r="L9" s="588">
        <v>728947</v>
      </c>
      <c r="M9" s="47"/>
      <c r="N9" s="779">
        <v>1392818</v>
      </c>
      <c r="O9" s="286">
        <f>I9-N9</f>
        <v>40748</v>
      </c>
      <c r="P9" s="287">
        <f>O9/N9*100</f>
        <v>2.9255796521871487</v>
      </c>
      <c r="Q9" s="55">
        <v>1000</v>
      </c>
      <c r="R9" s="947">
        <f>(I9/$I$9)*1000</f>
        <v>1000</v>
      </c>
      <c r="S9" s="947"/>
      <c r="T9" s="294">
        <v>0</v>
      </c>
      <c r="U9" s="639">
        <v>611.9</v>
      </c>
      <c r="V9" s="298">
        <v>628.4</v>
      </c>
      <c r="W9" s="965"/>
      <c r="X9" s="918"/>
    </row>
    <row r="10" spans="1:24" ht="15" customHeight="1">
      <c r="A10" s="163"/>
      <c r="B10" s="918" t="s">
        <v>206</v>
      </c>
      <c r="C10" s="918"/>
      <c r="D10" s="100"/>
      <c r="E10" s="930">
        <v>39.57</v>
      </c>
      <c r="F10" s="930"/>
      <c r="G10" s="928">
        <v>135532</v>
      </c>
      <c r="H10" s="928"/>
      <c r="I10" s="928">
        <v>319435</v>
      </c>
      <c r="J10" s="928"/>
      <c r="K10" s="619">
        <v>154685</v>
      </c>
      <c r="L10" s="588">
        <v>164750</v>
      </c>
      <c r="M10" s="47"/>
      <c r="N10" s="780">
        <v>315954</v>
      </c>
      <c r="O10" s="288">
        <f t="shared" ref="O10:O23" si="0">I10-N10</f>
        <v>3481</v>
      </c>
      <c r="P10" s="289">
        <f t="shared" ref="P10:P23" si="1">O10/N10*100</f>
        <v>1.1017426587414625</v>
      </c>
      <c r="Q10" s="56">
        <v>226.8</v>
      </c>
      <c r="R10" s="921">
        <f>(I10/$I$9)*1000</f>
        <v>222.82545763501645</v>
      </c>
      <c r="S10" s="921"/>
      <c r="T10" s="295">
        <f>R10-Q10</f>
        <v>-3.9745423649835629</v>
      </c>
      <c r="U10" s="640">
        <v>8051.8</v>
      </c>
      <c r="V10" s="299">
        <v>8072.7</v>
      </c>
      <c r="W10" s="965"/>
      <c r="X10" s="918"/>
    </row>
    <row r="11" spans="1:24" ht="15" customHeight="1">
      <c r="A11" s="163"/>
      <c r="B11" s="918" t="s">
        <v>208</v>
      </c>
      <c r="C11" s="918"/>
      <c r="D11" s="100"/>
      <c r="E11" s="930">
        <v>87.01</v>
      </c>
      <c r="F11" s="930"/>
      <c r="G11" s="928">
        <v>42378</v>
      </c>
      <c r="H11" s="928"/>
      <c r="I11" s="928">
        <v>118898</v>
      </c>
      <c r="J11" s="928"/>
      <c r="K11" s="619">
        <v>59409</v>
      </c>
      <c r="L11" s="588">
        <v>59489</v>
      </c>
      <c r="M11" s="47"/>
      <c r="N11" s="780">
        <v>116979</v>
      </c>
      <c r="O11" s="288">
        <f t="shared" si="0"/>
        <v>1919</v>
      </c>
      <c r="P11" s="289">
        <f t="shared" si="1"/>
        <v>1.6404653826755229</v>
      </c>
      <c r="Q11" s="56">
        <v>84</v>
      </c>
      <c r="R11" s="921">
        <f t="shared" ref="R11:R23" si="2">(I11/$I$9)*1000</f>
        <v>82.938629961927106</v>
      </c>
      <c r="S11" s="921"/>
      <c r="T11" s="295">
        <f>R11-Q11</f>
        <v>-1.0613700380728943</v>
      </c>
      <c r="U11" s="640">
        <v>1359</v>
      </c>
      <c r="V11" s="299">
        <v>1366.5</v>
      </c>
      <c r="W11" s="965"/>
      <c r="X11" s="918"/>
    </row>
    <row r="12" spans="1:24" ht="15" customHeight="1">
      <c r="A12" s="163"/>
      <c r="B12" s="918" t="s">
        <v>212</v>
      </c>
      <c r="C12" s="918"/>
      <c r="D12" s="100"/>
      <c r="E12" s="930">
        <v>19.8</v>
      </c>
      <c r="F12" s="930"/>
      <c r="G12" s="928">
        <v>39333</v>
      </c>
      <c r="H12" s="928"/>
      <c r="I12" s="928">
        <v>96243</v>
      </c>
      <c r="J12" s="928"/>
      <c r="K12" s="619">
        <v>47022</v>
      </c>
      <c r="L12" s="588">
        <v>49221</v>
      </c>
      <c r="M12" s="47"/>
      <c r="N12" s="780">
        <v>91928</v>
      </c>
      <c r="O12" s="288">
        <f>I12-N12</f>
        <v>4315</v>
      </c>
      <c r="P12" s="289">
        <f t="shared" si="1"/>
        <v>4.6938908711165261</v>
      </c>
      <c r="Q12" s="56">
        <v>66</v>
      </c>
      <c r="R12" s="921">
        <f t="shared" si="2"/>
        <v>67.135381279968968</v>
      </c>
      <c r="S12" s="921"/>
      <c r="T12" s="295">
        <f t="shared" ref="T12:T22" si="3">R12-Q12</f>
        <v>1.1353812799689678</v>
      </c>
      <c r="U12" s="640">
        <v>4666.3999999999996</v>
      </c>
      <c r="V12" s="299">
        <v>4860.8</v>
      </c>
      <c r="W12" s="965"/>
      <c r="X12" s="918"/>
    </row>
    <row r="13" spans="1:24" ht="15" customHeight="1">
      <c r="A13" s="163"/>
      <c r="B13" s="918" t="s">
        <v>210</v>
      </c>
      <c r="C13" s="918"/>
      <c r="D13" s="100"/>
      <c r="E13" s="930">
        <v>204.2</v>
      </c>
      <c r="F13" s="930"/>
      <c r="G13" s="928">
        <v>21977</v>
      </c>
      <c r="H13" s="928"/>
      <c r="I13" s="928">
        <v>51186</v>
      </c>
      <c r="J13" s="928"/>
      <c r="K13" s="619">
        <v>25131</v>
      </c>
      <c r="L13" s="588">
        <v>26055</v>
      </c>
      <c r="M13" s="47"/>
      <c r="N13" s="780">
        <v>52039</v>
      </c>
      <c r="O13" s="290">
        <f t="shared" si="0"/>
        <v>-853</v>
      </c>
      <c r="P13" s="291">
        <f t="shared" si="1"/>
        <v>-1.6391552489479044</v>
      </c>
      <c r="Q13" s="56">
        <v>37.4</v>
      </c>
      <c r="R13" s="921">
        <f t="shared" si="2"/>
        <v>35.70536689625731</v>
      </c>
      <c r="S13" s="921"/>
      <c r="T13" s="295">
        <f t="shared" si="3"/>
        <v>-1.6946331037426887</v>
      </c>
      <c r="U13" s="640">
        <v>254.4</v>
      </c>
      <c r="V13" s="299">
        <v>250.7</v>
      </c>
      <c r="W13" s="965"/>
      <c r="X13" s="918"/>
    </row>
    <row r="14" spans="1:24" ht="15" customHeight="1">
      <c r="A14" s="163"/>
      <c r="B14" s="918" t="s">
        <v>216</v>
      </c>
      <c r="C14" s="918"/>
      <c r="D14" s="100"/>
      <c r="E14" s="930">
        <v>229.34</v>
      </c>
      <c r="F14" s="930"/>
      <c r="G14" s="928">
        <v>20514</v>
      </c>
      <c r="H14" s="928"/>
      <c r="I14" s="928">
        <v>47564</v>
      </c>
      <c r="J14" s="928"/>
      <c r="K14" s="619">
        <v>23659</v>
      </c>
      <c r="L14" s="588">
        <v>23905</v>
      </c>
      <c r="M14" s="47"/>
      <c r="N14" s="780">
        <v>46922</v>
      </c>
      <c r="O14" s="288">
        <f t="shared" si="0"/>
        <v>642</v>
      </c>
      <c r="P14" s="289">
        <f t="shared" si="1"/>
        <v>1.3682281232684028</v>
      </c>
      <c r="Q14" s="56">
        <v>33.700000000000003</v>
      </c>
      <c r="R14" s="921">
        <f t="shared" si="2"/>
        <v>33.178800278466426</v>
      </c>
      <c r="S14" s="921"/>
      <c r="T14" s="295">
        <f t="shared" si="3"/>
        <v>-0.52119972153357708</v>
      </c>
      <c r="U14" s="640">
        <v>204.9</v>
      </c>
      <c r="V14" s="299">
        <v>207.4</v>
      </c>
      <c r="W14" s="965"/>
      <c r="X14" s="918"/>
    </row>
    <row r="15" spans="1:24" ht="15" customHeight="1">
      <c r="A15" s="163"/>
      <c r="B15" s="923" t="s">
        <v>260</v>
      </c>
      <c r="C15" s="923"/>
      <c r="D15" s="585"/>
      <c r="E15" s="963">
        <v>19.48</v>
      </c>
      <c r="F15" s="963"/>
      <c r="G15" s="948">
        <v>44041</v>
      </c>
      <c r="H15" s="948"/>
      <c r="I15" s="948">
        <v>114232</v>
      </c>
      <c r="J15" s="948"/>
      <c r="K15" s="620">
        <v>55471</v>
      </c>
      <c r="L15" s="589">
        <v>58761</v>
      </c>
      <c r="M15" s="47"/>
      <c r="N15" s="781">
        <v>110351</v>
      </c>
      <c r="O15" s="292">
        <f t="shared" si="0"/>
        <v>3881</v>
      </c>
      <c r="P15" s="474">
        <f t="shared" si="1"/>
        <v>3.5169595200768455</v>
      </c>
      <c r="Q15" s="59">
        <v>79.2</v>
      </c>
      <c r="R15" s="964">
        <f>(I15/$I$9)*1000</f>
        <v>79.683809465347252</v>
      </c>
      <c r="S15" s="964"/>
      <c r="T15" s="296">
        <f>R15-Q15</f>
        <v>0.48380946534724956</v>
      </c>
      <c r="U15" s="641">
        <v>5780.6</v>
      </c>
      <c r="V15" s="300">
        <v>5864.1</v>
      </c>
      <c r="W15" s="966"/>
      <c r="X15" s="923"/>
    </row>
    <row r="16" spans="1:24" ht="15" customHeight="1">
      <c r="A16" s="163"/>
      <c r="B16" s="918" t="s">
        <v>218</v>
      </c>
      <c r="C16" s="918"/>
      <c r="D16" s="100"/>
      <c r="E16" s="930">
        <v>210.9</v>
      </c>
      <c r="F16" s="930"/>
      <c r="G16" s="928">
        <v>26142</v>
      </c>
      <c r="H16" s="928"/>
      <c r="I16" s="928">
        <v>61674</v>
      </c>
      <c r="J16" s="928"/>
      <c r="K16" s="619">
        <v>30626</v>
      </c>
      <c r="L16" s="588">
        <v>31048</v>
      </c>
      <c r="M16" s="47"/>
      <c r="N16" s="780">
        <v>60231</v>
      </c>
      <c r="O16" s="288">
        <f t="shared" si="0"/>
        <v>1443</v>
      </c>
      <c r="P16" s="289">
        <f t="shared" si="1"/>
        <v>2.3957762613936349</v>
      </c>
      <c r="Q16" s="56">
        <v>43.2</v>
      </c>
      <c r="R16" s="921">
        <f t="shared" si="2"/>
        <v>43.021388621102901</v>
      </c>
      <c r="S16" s="921"/>
      <c r="T16" s="295">
        <f t="shared" si="3"/>
        <v>-0.17861137889710221</v>
      </c>
      <c r="U16" s="640">
        <v>286.3</v>
      </c>
      <c r="V16" s="299">
        <v>292.39999999999998</v>
      </c>
      <c r="W16" s="965"/>
      <c r="X16" s="918"/>
    </row>
    <row r="17" spans="1:24" ht="15" customHeight="1">
      <c r="A17" s="163"/>
      <c r="B17" s="918" t="s">
        <v>220</v>
      </c>
      <c r="C17" s="918"/>
      <c r="D17" s="100"/>
      <c r="E17" s="930">
        <v>46.62</v>
      </c>
      <c r="F17" s="930"/>
      <c r="G17" s="928">
        <v>20647</v>
      </c>
      <c r="H17" s="928"/>
      <c r="I17" s="928">
        <v>58547</v>
      </c>
      <c r="J17" s="928"/>
      <c r="K17" s="619">
        <v>29333</v>
      </c>
      <c r="L17" s="588">
        <v>29214</v>
      </c>
      <c r="M17" s="47"/>
      <c r="N17" s="780">
        <v>57320</v>
      </c>
      <c r="O17" s="288">
        <f t="shared" si="0"/>
        <v>1227</v>
      </c>
      <c r="P17" s="289">
        <f t="shared" si="1"/>
        <v>2.1406140963014653</v>
      </c>
      <c r="Q17" s="56">
        <v>41.2</v>
      </c>
      <c r="R17" s="921">
        <f t="shared" si="2"/>
        <v>40.840114790668864</v>
      </c>
      <c r="S17" s="921"/>
      <c r="T17" s="295">
        <f t="shared" si="3"/>
        <v>-0.35988520933113932</v>
      </c>
      <c r="U17" s="640">
        <v>1229.3</v>
      </c>
      <c r="V17" s="299">
        <v>1255.8</v>
      </c>
      <c r="W17" s="965"/>
      <c r="X17" s="918"/>
    </row>
    <row r="18" spans="1:24" ht="15" customHeight="1">
      <c r="A18" s="163"/>
      <c r="B18" s="918" t="s">
        <v>222</v>
      </c>
      <c r="C18" s="918"/>
      <c r="D18" s="100"/>
      <c r="E18" s="930">
        <v>49.72</v>
      </c>
      <c r="F18" s="930"/>
      <c r="G18" s="928">
        <v>53325</v>
      </c>
      <c r="H18" s="928"/>
      <c r="I18" s="928">
        <v>139279</v>
      </c>
      <c r="J18" s="928"/>
      <c r="K18" s="619">
        <v>67522</v>
      </c>
      <c r="L18" s="588">
        <v>71757</v>
      </c>
      <c r="M18" s="47"/>
      <c r="N18" s="780">
        <v>130249</v>
      </c>
      <c r="O18" s="288">
        <f t="shared" si="0"/>
        <v>9030</v>
      </c>
      <c r="P18" s="289">
        <f t="shared" si="1"/>
        <v>6.932874724566024</v>
      </c>
      <c r="Q18" s="56">
        <v>93.5</v>
      </c>
      <c r="R18" s="921">
        <f>(I18/$I$9)*1000</f>
        <v>97.155624505603512</v>
      </c>
      <c r="S18" s="921"/>
      <c r="T18" s="295">
        <f t="shared" si="3"/>
        <v>3.6556245056035124</v>
      </c>
      <c r="U18" s="640">
        <v>2658.1</v>
      </c>
      <c r="V18" s="299">
        <v>2801.3</v>
      </c>
      <c r="W18" s="965"/>
      <c r="X18" s="918"/>
    </row>
    <row r="19" spans="1:24" ht="15" customHeight="1">
      <c r="A19" s="163"/>
      <c r="B19" s="918" t="s">
        <v>224</v>
      </c>
      <c r="C19" s="918"/>
      <c r="D19" s="100"/>
      <c r="E19" s="930">
        <v>19.600000000000001</v>
      </c>
      <c r="F19" s="930"/>
      <c r="G19" s="928">
        <v>21780</v>
      </c>
      <c r="H19" s="928"/>
      <c r="I19" s="928">
        <v>61119</v>
      </c>
      <c r="J19" s="928"/>
      <c r="K19" s="619">
        <v>29761</v>
      </c>
      <c r="L19" s="588">
        <v>31358</v>
      </c>
      <c r="M19" s="47"/>
      <c r="N19" s="780">
        <v>57261</v>
      </c>
      <c r="O19" s="288">
        <f>I19-N19</f>
        <v>3858</v>
      </c>
      <c r="P19" s="289">
        <f t="shared" si="1"/>
        <v>6.737570073872269</v>
      </c>
      <c r="Q19" s="56">
        <v>41.1</v>
      </c>
      <c r="R19" s="921">
        <f t="shared" si="2"/>
        <v>42.634242162551288</v>
      </c>
      <c r="S19" s="921"/>
      <c r="T19" s="295">
        <f t="shared" si="3"/>
        <v>1.534242162551287</v>
      </c>
      <c r="U19" s="640">
        <v>2944</v>
      </c>
      <c r="V19" s="299">
        <v>3118.3</v>
      </c>
      <c r="W19" s="965"/>
      <c r="X19" s="918"/>
    </row>
    <row r="20" spans="1:24" ht="15" customHeight="1">
      <c r="A20" s="163"/>
      <c r="B20" s="918" t="s">
        <v>487</v>
      </c>
      <c r="C20" s="918"/>
      <c r="D20" s="100"/>
      <c r="E20" s="950">
        <v>49.94</v>
      </c>
      <c r="F20" s="951"/>
      <c r="G20" s="939">
        <v>14295</v>
      </c>
      <c r="H20" s="939"/>
      <c r="I20" s="928">
        <v>42016</v>
      </c>
      <c r="J20" s="928"/>
      <c r="K20" s="619">
        <v>21194</v>
      </c>
      <c r="L20" s="588">
        <v>20822</v>
      </c>
      <c r="M20" s="47"/>
      <c r="N20" s="782">
        <v>39758</v>
      </c>
      <c r="O20" s="288">
        <f>I20-N20</f>
        <v>2258</v>
      </c>
      <c r="P20" s="289">
        <f t="shared" si="1"/>
        <v>5.6793601287791136</v>
      </c>
      <c r="Q20" s="638">
        <v>28.5</v>
      </c>
      <c r="R20" s="921">
        <f t="shared" si="2"/>
        <v>29.308730815323468</v>
      </c>
      <c r="S20" s="921"/>
      <c r="T20" s="295">
        <f>R20-Q20</f>
        <v>0.80873081532346802</v>
      </c>
      <c r="U20" s="626">
        <v>798.8</v>
      </c>
      <c r="V20" s="627">
        <v>841.3</v>
      </c>
      <c r="W20" s="965"/>
      <c r="X20" s="918"/>
    </row>
    <row r="21" spans="1:24" ht="15" customHeight="1">
      <c r="A21" s="163"/>
      <c r="B21" s="918" t="s">
        <v>204</v>
      </c>
      <c r="C21" s="918"/>
      <c r="D21" s="100"/>
      <c r="E21" s="930">
        <v>15.9</v>
      </c>
      <c r="F21" s="930"/>
      <c r="G21" s="928">
        <v>12641</v>
      </c>
      <c r="H21" s="928"/>
      <c r="I21" s="928">
        <v>34508</v>
      </c>
      <c r="J21" s="928"/>
      <c r="K21" s="619">
        <v>17280</v>
      </c>
      <c r="L21" s="588">
        <v>17228</v>
      </c>
      <c r="M21" s="47"/>
      <c r="N21" s="780">
        <v>34766</v>
      </c>
      <c r="O21" s="288">
        <f t="shared" si="0"/>
        <v>-258</v>
      </c>
      <c r="P21" s="291">
        <f>O21/N21*100</f>
        <v>-0.74210435482943105</v>
      </c>
      <c r="Q21" s="56">
        <v>25</v>
      </c>
      <c r="R21" s="921">
        <f t="shared" si="2"/>
        <v>24.071441426484725</v>
      </c>
      <c r="S21" s="921"/>
      <c r="T21" s="295">
        <f t="shared" si="3"/>
        <v>-0.92855857351527504</v>
      </c>
      <c r="U21" s="640">
        <v>2194.8000000000002</v>
      </c>
      <c r="V21" s="299">
        <v>2170.3000000000002</v>
      </c>
      <c r="W21" s="965"/>
      <c r="X21" s="918"/>
    </row>
    <row r="22" spans="1:24" ht="15" customHeight="1">
      <c r="A22" s="163"/>
      <c r="B22" s="918" t="s">
        <v>486</v>
      </c>
      <c r="C22" s="918"/>
      <c r="D22" s="100"/>
      <c r="E22" s="930">
        <v>5.18</v>
      </c>
      <c r="F22" s="930"/>
      <c r="G22" s="928">
        <v>7003</v>
      </c>
      <c r="H22" s="928"/>
      <c r="I22" s="928">
        <v>18410</v>
      </c>
      <c r="J22" s="928"/>
      <c r="K22" s="619">
        <v>8832</v>
      </c>
      <c r="L22" s="588">
        <v>9578</v>
      </c>
      <c r="M22" s="47"/>
      <c r="N22" s="780">
        <v>16318</v>
      </c>
      <c r="O22" s="288">
        <f t="shared" si="0"/>
        <v>2092</v>
      </c>
      <c r="P22" s="289">
        <f t="shared" si="1"/>
        <v>12.82019855374433</v>
      </c>
      <c r="Q22" s="56">
        <v>11.7</v>
      </c>
      <c r="R22" s="921">
        <f t="shared" si="2"/>
        <v>12.842101444928241</v>
      </c>
      <c r="S22" s="921"/>
      <c r="T22" s="295">
        <f t="shared" si="3"/>
        <v>1.1421014449282421</v>
      </c>
      <c r="U22" s="640">
        <v>3212.2</v>
      </c>
      <c r="V22" s="299">
        <v>3554.1</v>
      </c>
      <c r="W22" s="965"/>
      <c r="X22" s="918"/>
    </row>
    <row r="23" spans="1:24" ht="15" customHeight="1" thickBot="1">
      <c r="A23" s="165"/>
      <c r="B23" s="922" t="s">
        <v>209</v>
      </c>
      <c r="C23" s="922"/>
      <c r="D23" s="586"/>
      <c r="E23" s="944">
        <v>10.76</v>
      </c>
      <c r="F23" s="944"/>
      <c r="G23" s="931">
        <v>12763</v>
      </c>
      <c r="H23" s="931"/>
      <c r="I23" s="931">
        <v>37502</v>
      </c>
      <c r="J23" s="931"/>
      <c r="K23" s="622">
        <v>18429</v>
      </c>
      <c r="L23" s="590">
        <v>19073</v>
      </c>
      <c r="M23" s="47"/>
      <c r="N23" s="783">
        <v>35244</v>
      </c>
      <c r="O23" s="293">
        <f t="shared" si="0"/>
        <v>2258</v>
      </c>
      <c r="P23" s="291">
        <f t="shared" si="1"/>
        <v>6.4067642719328122</v>
      </c>
      <c r="Q23" s="171">
        <v>25.3</v>
      </c>
      <c r="R23" s="921">
        <f t="shared" si="2"/>
        <v>26.159939619103689</v>
      </c>
      <c r="S23" s="921"/>
      <c r="T23" s="297">
        <f>R23-Q23</f>
        <v>0.8599396191036881</v>
      </c>
      <c r="U23" s="642">
        <v>3287.7</v>
      </c>
      <c r="V23" s="301">
        <v>3485.3</v>
      </c>
      <c r="W23" s="965"/>
      <c r="X23" s="918"/>
    </row>
    <row r="24" spans="1:24" ht="15" customHeight="1">
      <c r="B24" s="940" t="s">
        <v>645</v>
      </c>
      <c r="C24" s="940"/>
      <c r="D24" s="940"/>
      <c r="E24" s="940"/>
      <c r="F24" s="940"/>
      <c r="G24" s="940"/>
      <c r="H24" s="940"/>
      <c r="I24" s="940"/>
      <c r="J24" s="940"/>
      <c r="K24" s="940"/>
      <c r="L24" s="54"/>
      <c r="M24" s="47"/>
      <c r="N24" s="53"/>
      <c r="O24" s="53"/>
      <c r="P24" s="281"/>
      <c r="Q24" s="53"/>
      <c r="R24" s="929"/>
      <c r="S24" s="929"/>
      <c r="T24" s="53"/>
      <c r="U24" s="7"/>
      <c r="V24" s="7" t="s">
        <v>663</v>
      </c>
      <c r="W24" s="7"/>
    </row>
    <row r="25" spans="1:24" ht="15" customHeight="1">
      <c r="B25" s="5" t="s">
        <v>717</v>
      </c>
      <c r="C25" s="5"/>
      <c r="D25" s="5"/>
      <c r="E25" s="5"/>
      <c r="F25" s="5"/>
      <c r="G25" s="5"/>
      <c r="H25" s="5"/>
      <c r="I25" s="5"/>
      <c r="J25" s="5"/>
      <c r="K25" s="53"/>
      <c r="L25" s="54"/>
      <c r="M25" s="5"/>
      <c r="N25" s="53"/>
      <c r="O25" s="53"/>
      <c r="P25" s="53"/>
      <c r="Q25" s="53"/>
      <c r="R25" s="53"/>
      <c r="S25" s="53"/>
      <c r="T25" s="53"/>
      <c r="U25" s="53"/>
      <c r="V25" s="53"/>
      <c r="W25" s="7"/>
    </row>
    <row r="26" spans="1:24" ht="15" customHeight="1">
      <c r="B26" s="938" t="s">
        <v>718</v>
      </c>
      <c r="C26" s="938"/>
      <c r="D26" s="938"/>
      <c r="E26" s="938"/>
      <c r="F26" s="938"/>
      <c r="G26" s="938"/>
      <c r="H26" s="938"/>
      <c r="I26" s="938"/>
      <c r="J26" s="938"/>
      <c r="K26" s="5"/>
      <c r="L26" s="54"/>
      <c r="M26" s="5"/>
      <c r="N26" s="53"/>
      <c r="O26" s="53"/>
      <c r="P26" s="53"/>
      <c r="Q26" s="53"/>
      <c r="R26" s="53"/>
      <c r="S26" s="53"/>
      <c r="T26" s="53"/>
      <c r="U26" s="53"/>
      <c r="V26" s="53"/>
      <c r="W26" s="53"/>
    </row>
    <row r="27" spans="1:24" ht="11.25" customHeight="1">
      <c r="B27" s="938"/>
      <c r="C27" s="938"/>
      <c r="D27" s="938"/>
      <c r="E27" s="938"/>
      <c r="F27" s="938"/>
      <c r="G27" s="938"/>
      <c r="H27" s="938"/>
      <c r="I27" s="938"/>
      <c r="J27" s="938"/>
      <c r="K27" s="938"/>
      <c r="L27" s="54"/>
      <c r="M27" s="5"/>
      <c r="N27" s="53"/>
      <c r="O27" s="53"/>
      <c r="P27" s="53"/>
      <c r="Q27" s="53"/>
      <c r="R27" s="53"/>
      <c r="S27" s="53"/>
      <c r="T27" s="53"/>
      <c r="U27" s="53"/>
      <c r="V27" s="53"/>
      <c r="W27" s="53"/>
    </row>
    <row r="28" spans="1:24" ht="15" customHeight="1" thickBot="1">
      <c r="B28" s="5" t="s">
        <v>261</v>
      </c>
      <c r="C28" s="5"/>
      <c r="D28" s="5"/>
      <c r="E28" s="53"/>
      <c r="F28" s="53"/>
      <c r="G28" s="53"/>
      <c r="H28" s="53"/>
      <c r="I28" s="53"/>
      <c r="J28" s="53"/>
      <c r="K28" s="53"/>
      <c r="L28" s="54"/>
      <c r="M28" s="5"/>
      <c r="N28" s="5" t="s">
        <v>262</v>
      </c>
      <c r="O28" s="53"/>
      <c r="P28" s="53"/>
      <c r="Q28" s="53"/>
      <c r="R28" s="53"/>
      <c r="S28" s="53"/>
      <c r="T28" s="53"/>
      <c r="U28" s="53"/>
      <c r="V28" s="53"/>
      <c r="W28" s="53"/>
    </row>
    <row r="29" spans="1:24" ht="15" customHeight="1">
      <c r="A29" s="932" t="s">
        <v>250</v>
      </c>
      <c r="B29" s="933"/>
      <c r="C29" s="933"/>
      <c r="D29" s="933"/>
      <c r="E29" s="933" t="s">
        <v>263</v>
      </c>
      <c r="F29" s="933"/>
      <c r="G29" s="933"/>
      <c r="H29" s="949"/>
      <c r="I29" s="941" t="s">
        <v>264</v>
      </c>
      <c r="J29" s="942"/>
      <c r="K29" s="942"/>
      <c r="L29" s="943"/>
      <c r="M29" s="529"/>
      <c r="N29" s="936" t="s">
        <v>201</v>
      </c>
      <c r="O29" s="914" t="s">
        <v>265</v>
      </c>
      <c r="P29" s="915"/>
      <c r="Q29" s="915"/>
      <c r="R29" s="915"/>
      <c r="S29" s="916"/>
      <c r="T29" s="925" t="s">
        <v>643</v>
      </c>
      <c r="U29" s="915"/>
      <c r="V29" s="915"/>
      <c r="W29" s="926"/>
      <c r="X29" s="529"/>
    </row>
    <row r="30" spans="1:24" ht="15" customHeight="1">
      <c r="A30" s="934"/>
      <c r="B30" s="935"/>
      <c r="C30" s="935"/>
      <c r="D30" s="935"/>
      <c r="E30" s="624" t="s">
        <v>182</v>
      </c>
      <c r="F30" s="624" t="s">
        <v>185</v>
      </c>
      <c r="G30" s="624" t="s">
        <v>188</v>
      </c>
      <c r="H30" s="624" t="s">
        <v>266</v>
      </c>
      <c r="I30" s="536" t="s">
        <v>182</v>
      </c>
      <c r="J30" s="621" t="s">
        <v>185</v>
      </c>
      <c r="K30" s="621" t="s">
        <v>188</v>
      </c>
      <c r="L30" s="162" t="s">
        <v>266</v>
      </c>
      <c r="M30" s="529"/>
      <c r="N30" s="937"/>
      <c r="O30" s="621" t="s">
        <v>182</v>
      </c>
      <c r="P30" s="621" t="s">
        <v>185</v>
      </c>
      <c r="Q30" s="621" t="s">
        <v>188</v>
      </c>
      <c r="R30" s="912" t="s">
        <v>266</v>
      </c>
      <c r="S30" s="913"/>
      <c r="T30" s="621" t="s">
        <v>182</v>
      </c>
      <c r="U30" s="621" t="s">
        <v>185</v>
      </c>
      <c r="V30" s="621" t="s">
        <v>188</v>
      </c>
      <c r="W30" s="609" t="s">
        <v>266</v>
      </c>
      <c r="X30" s="625"/>
    </row>
    <row r="31" spans="1:24" ht="15" customHeight="1">
      <c r="A31" s="163"/>
      <c r="B31" s="946" t="s">
        <v>246</v>
      </c>
      <c r="C31" s="946"/>
      <c r="D31" s="613"/>
      <c r="E31" s="61">
        <f t="shared" ref="E31:E47" si="4">F31+G31</f>
        <v>44780</v>
      </c>
      <c r="F31" s="62">
        <v>46455</v>
      </c>
      <c r="G31" s="63">
        <v>-1675</v>
      </c>
      <c r="H31" s="175" t="s">
        <v>267</v>
      </c>
      <c r="I31" s="62">
        <f t="shared" ref="I31:I47" si="5">+J31+K31</f>
        <v>43374</v>
      </c>
      <c r="J31" s="62">
        <v>41051</v>
      </c>
      <c r="K31" s="63">
        <v>2323</v>
      </c>
      <c r="L31" s="182" t="s">
        <v>268</v>
      </c>
      <c r="M31" s="529"/>
      <c r="N31" s="629" t="s">
        <v>246</v>
      </c>
      <c r="O31" s="362">
        <v>31224</v>
      </c>
      <c r="P31" s="290">
        <v>35842</v>
      </c>
      <c r="Q31" s="305">
        <f>+O31-P31</f>
        <v>-4618</v>
      </c>
      <c r="R31" s="917" t="s">
        <v>5</v>
      </c>
      <c r="S31" s="917"/>
      <c r="T31" s="362">
        <f t="shared" ref="T31:T45" si="6">I9-N9</f>
        <v>40748</v>
      </c>
      <c r="U31" s="290">
        <v>30326</v>
      </c>
      <c r="V31" s="305">
        <f>+T31-U31</f>
        <v>10422</v>
      </c>
      <c r="W31" s="610" t="s">
        <v>7</v>
      </c>
      <c r="X31" s="617"/>
    </row>
    <row r="32" spans="1:24" ht="15" customHeight="1">
      <c r="A32" s="163"/>
      <c r="B32" s="918" t="s">
        <v>206</v>
      </c>
      <c r="C32" s="918"/>
      <c r="D32" s="614"/>
      <c r="E32" s="57">
        <f t="shared" si="4"/>
        <v>-858</v>
      </c>
      <c r="F32" s="63">
        <v>8797</v>
      </c>
      <c r="G32" s="63">
        <v>-9655</v>
      </c>
      <c r="H32" s="175" t="s">
        <v>456</v>
      </c>
      <c r="I32" s="63">
        <f t="shared" si="5"/>
        <v>11361</v>
      </c>
      <c r="J32" s="63">
        <v>7680</v>
      </c>
      <c r="K32" s="63">
        <v>3681</v>
      </c>
      <c r="L32" s="606" t="s">
        <v>268</v>
      </c>
      <c r="M32" s="529"/>
      <c r="N32" s="628" t="s">
        <v>206</v>
      </c>
      <c r="O32" s="290">
        <v>3561</v>
      </c>
      <c r="P32" s="290">
        <v>6363</v>
      </c>
      <c r="Q32" s="305">
        <f>+O32-P32</f>
        <v>-2802</v>
      </c>
      <c r="R32" s="841" t="s">
        <v>637</v>
      </c>
      <c r="S32" s="841"/>
      <c r="T32" s="290">
        <f t="shared" si="6"/>
        <v>3481</v>
      </c>
      <c r="U32" s="290">
        <v>4803</v>
      </c>
      <c r="V32" s="305">
        <f>+T32-U32</f>
        <v>-1322</v>
      </c>
      <c r="W32" s="611" t="s">
        <v>637</v>
      </c>
      <c r="X32" s="617"/>
    </row>
    <row r="33" spans="1:24" ht="15" customHeight="1">
      <c r="A33" s="163"/>
      <c r="B33" s="918" t="s">
        <v>646</v>
      </c>
      <c r="C33" s="918"/>
      <c r="D33" s="614"/>
      <c r="E33" s="303" t="s">
        <v>463</v>
      </c>
      <c r="F33" s="303" t="s">
        <v>463</v>
      </c>
      <c r="G33" s="303" t="s">
        <v>463</v>
      </c>
      <c r="H33" s="303" t="s">
        <v>463</v>
      </c>
      <c r="I33" s="63">
        <f t="shared" si="5"/>
        <v>3543</v>
      </c>
      <c r="J33" s="63">
        <v>3229</v>
      </c>
      <c r="K33" s="63">
        <v>314</v>
      </c>
      <c r="L33" s="606" t="s">
        <v>268</v>
      </c>
      <c r="M33" s="529"/>
      <c r="N33" s="628" t="s">
        <v>208</v>
      </c>
      <c r="O33" s="290">
        <v>3444</v>
      </c>
      <c r="P33" s="290">
        <v>2563</v>
      </c>
      <c r="Q33" s="290">
        <f>+O33-P33</f>
        <v>881</v>
      </c>
      <c r="R33" s="841" t="s">
        <v>7</v>
      </c>
      <c r="S33" s="841"/>
      <c r="T33" s="290">
        <f t="shared" si="6"/>
        <v>1919</v>
      </c>
      <c r="U33" s="290">
        <v>1926</v>
      </c>
      <c r="V33" s="290">
        <f>+T33-U33</f>
        <v>-7</v>
      </c>
      <c r="W33" s="611" t="s">
        <v>637</v>
      </c>
      <c r="X33" s="617"/>
    </row>
    <row r="34" spans="1:24" ht="15" customHeight="1">
      <c r="A34" s="163"/>
      <c r="B34" s="918" t="s">
        <v>655</v>
      </c>
      <c r="C34" s="918"/>
      <c r="D34" s="614"/>
      <c r="E34" s="57">
        <f t="shared" si="4"/>
        <v>184</v>
      </c>
      <c r="F34" s="63">
        <v>748</v>
      </c>
      <c r="G34" s="63">
        <v>-564</v>
      </c>
      <c r="H34" s="175" t="s">
        <v>267</v>
      </c>
      <c r="I34" s="303" t="s">
        <v>463</v>
      </c>
      <c r="J34" s="303" t="s">
        <v>463</v>
      </c>
      <c r="K34" s="303" t="s">
        <v>463</v>
      </c>
      <c r="L34" s="303" t="s">
        <v>463</v>
      </c>
      <c r="M34" s="529"/>
      <c r="N34" s="628" t="s">
        <v>212</v>
      </c>
      <c r="O34" s="290">
        <v>2159</v>
      </c>
      <c r="P34" s="305">
        <v>3924</v>
      </c>
      <c r="Q34" s="305">
        <f t="shared" ref="Q34:Q45" si="7">+O34-P34</f>
        <v>-1765</v>
      </c>
      <c r="R34" s="841" t="s">
        <v>637</v>
      </c>
      <c r="S34" s="841"/>
      <c r="T34" s="290">
        <f t="shared" si="6"/>
        <v>4315</v>
      </c>
      <c r="U34" s="305">
        <v>3535</v>
      </c>
      <c r="V34" s="305">
        <f t="shared" ref="V34:V45" si="8">+T34-U34</f>
        <v>780</v>
      </c>
      <c r="W34" s="611" t="s">
        <v>641</v>
      </c>
      <c r="X34" s="617"/>
    </row>
    <row r="35" spans="1:24" ht="15" customHeight="1">
      <c r="A35" s="163"/>
      <c r="B35" s="945" t="s">
        <v>656</v>
      </c>
      <c r="C35" s="945"/>
      <c r="D35" s="614"/>
      <c r="E35" s="57">
        <f t="shared" si="4"/>
        <v>3892</v>
      </c>
      <c r="F35" s="63">
        <v>2369</v>
      </c>
      <c r="G35" s="63">
        <v>1523</v>
      </c>
      <c r="H35" s="175" t="s">
        <v>268</v>
      </c>
      <c r="I35" s="303" t="s">
        <v>463</v>
      </c>
      <c r="J35" s="303" t="s">
        <v>463</v>
      </c>
      <c r="K35" s="303" t="s">
        <v>463</v>
      </c>
      <c r="L35" s="303" t="s">
        <v>463</v>
      </c>
      <c r="M35" s="529"/>
      <c r="N35" s="628" t="s">
        <v>210</v>
      </c>
      <c r="O35" s="290">
        <v>-1454</v>
      </c>
      <c r="P35" s="305">
        <v>117</v>
      </c>
      <c r="Q35" s="305">
        <f t="shared" si="7"/>
        <v>-1571</v>
      </c>
      <c r="R35" s="841" t="s">
        <v>640</v>
      </c>
      <c r="S35" s="841"/>
      <c r="T35" s="290">
        <f t="shared" si="6"/>
        <v>-853</v>
      </c>
      <c r="U35" s="305">
        <v>-106</v>
      </c>
      <c r="V35" s="305">
        <f t="shared" si="8"/>
        <v>-747</v>
      </c>
      <c r="W35" s="633" t="s">
        <v>660</v>
      </c>
      <c r="X35" s="617"/>
    </row>
    <row r="36" spans="1:24" ht="15" customHeight="1">
      <c r="A36" s="163"/>
      <c r="B36" s="918" t="s">
        <v>212</v>
      </c>
      <c r="C36" s="918"/>
      <c r="D36" s="614"/>
      <c r="E36" s="57">
        <f t="shared" si="4"/>
        <v>3882</v>
      </c>
      <c r="F36" s="63">
        <v>4710</v>
      </c>
      <c r="G36" s="63">
        <v>-828</v>
      </c>
      <c r="H36" s="175" t="s">
        <v>267</v>
      </c>
      <c r="I36" s="63">
        <f t="shared" si="5"/>
        <v>3025</v>
      </c>
      <c r="J36" s="63">
        <v>4112</v>
      </c>
      <c r="K36" s="63">
        <v>-1087</v>
      </c>
      <c r="L36" s="606" t="s">
        <v>267</v>
      </c>
      <c r="M36" s="529"/>
      <c r="N36" s="628" t="s">
        <v>216</v>
      </c>
      <c r="O36" s="290">
        <v>1739</v>
      </c>
      <c r="P36" s="305">
        <v>1506</v>
      </c>
      <c r="Q36" s="305">
        <f t="shared" si="7"/>
        <v>233</v>
      </c>
      <c r="R36" s="841" t="s">
        <v>641</v>
      </c>
      <c r="S36" s="841"/>
      <c r="T36" s="290">
        <f t="shared" si="6"/>
        <v>642</v>
      </c>
      <c r="U36" s="305">
        <v>1014</v>
      </c>
      <c r="V36" s="305">
        <f t="shared" si="8"/>
        <v>-372</v>
      </c>
      <c r="W36" s="611" t="s">
        <v>637</v>
      </c>
      <c r="X36" s="617"/>
    </row>
    <row r="37" spans="1:24" ht="15" customHeight="1">
      <c r="A37" s="163"/>
      <c r="B37" s="918" t="s">
        <v>647</v>
      </c>
      <c r="C37" s="918"/>
      <c r="D37" s="614"/>
      <c r="E37" s="303" t="s">
        <v>463</v>
      </c>
      <c r="F37" s="303" t="s">
        <v>463</v>
      </c>
      <c r="G37" s="303" t="s">
        <v>463</v>
      </c>
      <c r="H37" s="303" t="s">
        <v>463</v>
      </c>
      <c r="I37" s="63">
        <f t="shared" si="5"/>
        <v>-756</v>
      </c>
      <c r="J37" s="63">
        <v>434</v>
      </c>
      <c r="K37" s="63">
        <v>-1190</v>
      </c>
      <c r="L37" s="606" t="s">
        <v>6</v>
      </c>
      <c r="M37" s="45"/>
      <c r="N37" s="630" t="s">
        <v>260</v>
      </c>
      <c r="O37" s="631">
        <v>4302</v>
      </c>
      <c r="P37" s="306">
        <v>4781</v>
      </c>
      <c r="Q37" s="306">
        <f t="shared" si="7"/>
        <v>-479</v>
      </c>
      <c r="R37" s="927" t="s">
        <v>637</v>
      </c>
      <c r="S37" s="927"/>
      <c r="T37" s="631">
        <f t="shared" si="6"/>
        <v>3881</v>
      </c>
      <c r="U37" s="306">
        <v>4044</v>
      </c>
      <c r="V37" s="306">
        <f t="shared" si="8"/>
        <v>-163</v>
      </c>
      <c r="W37" s="632" t="s">
        <v>637</v>
      </c>
      <c r="X37" s="617"/>
    </row>
    <row r="38" spans="1:24" ht="15" customHeight="1">
      <c r="A38" s="163"/>
      <c r="B38" s="918" t="s">
        <v>657</v>
      </c>
      <c r="C38" s="918"/>
      <c r="D38" s="614"/>
      <c r="E38" s="57">
        <f t="shared" si="4"/>
        <v>606</v>
      </c>
      <c r="F38" s="63">
        <v>959</v>
      </c>
      <c r="G38" s="63">
        <v>-353</v>
      </c>
      <c r="H38" s="175" t="s">
        <v>267</v>
      </c>
      <c r="I38" s="303" t="s">
        <v>463</v>
      </c>
      <c r="J38" s="303" t="s">
        <v>463</v>
      </c>
      <c r="K38" s="303" t="s">
        <v>463</v>
      </c>
      <c r="L38" s="303" t="s">
        <v>463</v>
      </c>
      <c r="M38" s="529"/>
      <c r="N38" s="628" t="s">
        <v>218</v>
      </c>
      <c r="O38" s="290">
        <v>768</v>
      </c>
      <c r="P38" s="305">
        <v>1685</v>
      </c>
      <c r="Q38" s="305">
        <f t="shared" si="7"/>
        <v>-917</v>
      </c>
      <c r="R38" s="841" t="s">
        <v>637</v>
      </c>
      <c r="S38" s="841"/>
      <c r="T38" s="290">
        <f t="shared" si="6"/>
        <v>1443</v>
      </c>
      <c r="U38" s="305">
        <v>1341</v>
      </c>
      <c r="V38" s="305">
        <f t="shared" si="8"/>
        <v>102</v>
      </c>
      <c r="W38" s="611" t="s">
        <v>7</v>
      </c>
      <c r="X38" s="617"/>
    </row>
    <row r="39" spans="1:24" ht="15" customHeight="1">
      <c r="A39" s="163"/>
      <c r="B39" s="918" t="s">
        <v>216</v>
      </c>
      <c r="C39" s="918"/>
      <c r="D39" s="614"/>
      <c r="E39" s="57">
        <f t="shared" si="4"/>
        <v>1525</v>
      </c>
      <c r="F39" s="63">
        <v>1441</v>
      </c>
      <c r="G39" s="63">
        <v>84</v>
      </c>
      <c r="H39" s="175" t="s">
        <v>268</v>
      </c>
      <c r="I39" s="63">
        <f t="shared" si="5"/>
        <v>1881</v>
      </c>
      <c r="J39" s="63">
        <v>1254</v>
      </c>
      <c r="K39" s="63">
        <v>627</v>
      </c>
      <c r="L39" s="606" t="s">
        <v>268</v>
      </c>
      <c r="M39" s="529"/>
      <c r="N39" s="628" t="s">
        <v>220</v>
      </c>
      <c r="O39" s="290">
        <v>1504</v>
      </c>
      <c r="P39" s="305">
        <v>1457</v>
      </c>
      <c r="Q39" s="305">
        <f t="shared" si="7"/>
        <v>47</v>
      </c>
      <c r="R39" s="841" t="s">
        <v>641</v>
      </c>
      <c r="S39" s="841"/>
      <c r="T39" s="290">
        <f t="shared" si="6"/>
        <v>1227</v>
      </c>
      <c r="U39" s="305">
        <v>1405</v>
      </c>
      <c r="V39" s="305">
        <f t="shared" si="8"/>
        <v>-178</v>
      </c>
      <c r="W39" s="611" t="s">
        <v>637</v>
      </c>
      <c r="X39" s="617"/>
    </row>
    <row r="40" spans="1:24" ht="15" customHeight="1">
      <c r="A40" s="163"/>
      <c r="B40" s="923" t="s">
        <v>260</v>
      </c>
      <c r="C40" s="923"/>
      <c r="D40" s="615"/>
      <c r="E40" s="65">
        <f t="shared" si="4"/>
        <v>6732</v>
      </c>
      <c r="F40" s="66">
        <v>6416</v>
      </c>
      <c r="G40" s="66">
        <v>316</v>
      </c>
      <c r="H40" s="176" t="s">
        <v>268</v>
      </c>
      <c r="I40" s="66">
        <f t="shared" si="5"/>
        <v>3315</v>
      </c>
      <c r="J40" s="66">
        <v>5585</v>
      </c>
      <c r="K40" s="66">
        <v>-2270</v>
      </c>
      <c r="L40" s="607" t="s">
        <v>267</v>
      </c>
      <c r="M40" s="529"/>
      <c r="N40" s="628" t="s">
        <v>222</v>
      </c>
      <c r="O40" s="290">
        <v>3849</v>
      </c>
      <c r="P40" s="305">
        <v>4852</v>
      </c>
      <c r="Q40" s="305">
        <f t="shared" si="7"/>
        <v>-1003</v>
      </c>
      <c r="R40" s="841" t="s">
        <v>637</v>
      </c>
      <c r="S40" s="841"/>
      <c r="T40" s="290">
        <f t="shared" si="6"/>
        <v>9030</v>
      </c>
      <c r="U40" s="305">
        <v>4043</v>
      </c>
      <c r="V40" s="305">
        <f t="shared" si="8"/>
        <v>4987</v>
      </c>
      <c r="W40" s="611" t="s">
        <v>638</v>
      </c>
      <c r="X40" s="617"/>
    </row>
    <row r="41" spans="1:24" ht="15" customHeight="1">
      <c r="A41" s="163"/>
      <c r="B41" s="918" t="s">
        <v>218</v>
      </c>
      <c r="C41" s="918"/>
      <c r="D41" s="614"/>
      <c r="E41" s="57">
        <f t="shared" si="4"/>
        <v>2651</v>
      </c>
      <c r="F41" s="63">
        <v>1815</v>
      </c>
      <c r="G41" s="63">
        <v>836</v>
      </c>
      <c r="H41" s="175" t="s">
        <v>268</v>
      </c>
      <c r="I41" s="63">
        <f t="shared" si="5"/>
        <v>2857</v>
      </c>
      <c r="J41" s="63">
        <v>1688</v>
      </c>
      <c r="K41" s="63">
        <v>1169</v>
      </c>
      <c r="L41" s="606" t="s">
        <v>268</v>
      </c>
      <c r="M41" s="529"/>
      <c r="N41" s="628" t="s">
        <v>224</v>
      </c>
      <c r="O41" s="290">
        <v>4745</v>
      </c>
      <c r="P41" s="305">
        <v>2724</v>
      </c>
      <c r="Q41" s="305">
        <f t="shared" si="7"/>
        <v>2021</v>
      </c>
      <c r="R41" s="841" t="s">
        <v>7</v>
      </c>
      <c r="S41" s="841"/>
      <c r="T41" s="290">
        <f t="shared" si="6"/>
        <v>3858</v>
      </c>
      <c r="U41" s="305">
        <v>2827</v>
      </c>
      <c r="V41" s="305">
        <f t="shared" si="8"/>
        <v>1031</v>
      </c>
      <c r="W41" s="611" t="s">
        <v>7</v>
      </c>
      <c r="X41" s="617"/>
    </row>
    <row r="42" spans="1:24" ht="15" customHeight="1">
      <c r="A42" s="163"/>
      <c r="B42" s="918" t="s">
        <v>220</v>
      </c>
      <c r="C42" s="918"/>
      <c r="D42" s="614"/>
      <c r="E42" s="57">
        <f t="shared" si="4"/>
        <v>1478</v>
      </c>
      <c r="F42" s="63">
        <v>2041</v>
      </c>
      <c r="G42" s="63">
        <v>-563</v>
      </c>
      <c r="H42" s="175" t="s">
        <v>267</v>
      </c>
      <c r="I42" s="63">
        <f t="shared" si="5"/>
        <v>842</v>
      </c>
      <c r="J42" s="63">
        <v>1584</v>
      </c>
      <c r="K42" s="63">
        <v>-742</v>
      </c>
      <c r="L42" s="606" t="s">
        <v>267</v>
      </c>
      <c r="M42" s="529"/>
      <c r="N42" s="628" t="s">
        <v>654</v>
      </c>
      <c r="O42" s="303" t="s">
        <v>463</v>
      </c>
      <c r="P42" s="303" t="s">
        <v>463</v>
      </c>
      <c r="Q42" s="303" t="s">
        <v>463</v>
      </c>
      <c r="R42" s="303"/>
      <c r="S42" s="303" t="s">
        <v>463</v>
      </c>
      <c r="T42" s="290">
        <f t="shared" si="6"/>
        <v>2258</v>
      </c>
      <c r="U42" s="305">
        <v>-10</v>
      </c>
      <c r="V42" s="305">
        <f>+T42-U42</f>
        <v>2268</v>
      </c>
      <c r="W42" s="611" t="s">
        <v>661</v>
      </c>
      <c r="X42" s="617"/>
    </row>
    <row r="43" spans="1:24" ht="15" customHeight="1">
      <c r="A43" s="163"/>
      <c r="B43" s="918" t="s">
        <v>222</v>
      </c>
      <c r="C43" s="918"/>
      <c r="D43" s="614"/>
      <c r="E43" s="57">
        <f t="shared" si="4"/>
        <v>4350</v>
      </c>
      <c r="F43" s="63">
        <v>5722</v>
      </c>
      <c r="G43" s="63">
        <v>-1372</v>
      </c>
      <c r="H43" s="175" t="s">
        <v>267</v>
      </c>
      <c r="I43" s="63">
        <f t="shared" si="5"/>
        <v>6714</v>
      </c>
      <c r="J43" s="63">
        <v>5426</v>
      </c>
      <c r="K43" s="63">
        <v>1288</v>
      </c>
      <c r="L43" s="606" t="s">
        <v>268</v>
      </c>
      <c r="M43" s="529"/>
      <c r="N43" s="628" t="s">
        <v>204</v>
      </c>
      <c r="O43" s="290">
        <v>1033</v>
      </c>
      <c r="P43" s="305">
        <v>1131</v>
      </c>
      <c r="Q43" s="305">
        <f t="shared" si="7"/>
        <v>-98</v>
      </c>
      <c r="R43" s="841" t="s">
        <v>637</v>
      </c>
      <c r="S43" s="841"/>
      <c r="T43" s="290">
        <f t="shared" si="6"/>
        <v>-258</v>
      </c>
      <c r="U43" s="305">
        <v>898</v>
      </c>
      <c r="V43" s="305">
        <f t="shared" si="8"/>
        <v>-1156</v>
      </c>
      <c r="W43" s="611" t="s">
        <v>640</v>
      </c>
      <c r="X43" s="617"/>
    </row>
    <row r="44" spans="1:24" ht="15" customHeight="1">
      <c r="A44" s="163"/>
      <c r="B44" s="918" t="s">
        <v>204</v>
      </c>
      <c r="C44" s="918"/>
      <c r="D44" s="614"/>
      <c r="E44" s="57">
        <f t="shared" si="4"/>
        <v>4261</v>
      </c>
      <c r="F44" s="63">
        <v>1449</v>
      </c>
      <c r="G44" s="63">
        <v>2812</v>
      </c>
      <c r="H44" s="175" t="s">
        <v>269</v>
      </c>
      <c r="I44" s="63">
        <f t="shared" si="5"/>
        <v>2318</v>
      </c>
      <c r="J44" s="63">
        <v>2541</v>
      </c>
      <c r="K44" s="63">
        <v>-223</v>
      </c>
      <c r="L44" s="606" t="s">
        <v>267</v>
      </c>
      <c r="M44" s="529"/>
      <c r="N44" s="628" t="s">
        <v>205</v>
      </c>
      <c r="O44" s="290">
        <v>975</v>
      </c>
      <c r="P44" s="305">
        <v>379</v>
      </c>
      <c r="Q44" s="305">
        <f t="shared" si="7"/>
        <v>596</v>
      </c>
      <c r="R44" s="841" t="s">
        <v>638</v>
      </c>
      <c r="S44" s="841"/>
      <c r="T44" s="290">
        <f t="shared" si="6"/>
        <v>2092</v>
      </c>
      <c r="U44" s="305">
        <v>677</v>
      </c>
      <c r="V44" s="305">
        <f t="shared" si="8"/>
        <v>1415</v>
      </c>
      <c r="W44" s="611" t="s">
        <v>638</v>
      </c>
      <c r="X44" s="617"/>
    </row>
    <row r="45" spans="1:24" ht="15" customHeight="1" thickBot="1">
      <c r="A45" s="163"/>
      <c r="B45" s="918" t="s">
        <v>270</v>
      </c>
      <c r="C45" s="918"/>
      <c r="D45" s="614"/>
      <c r="E45" s="57">
        <f t="shared" si="4"/>
        <v>4945</v>
      </c>
      <c r="F45" s="63">
        <v>2659</v>
      </c>
      <c r="G45" s="63">
        <v>2286</v>
      </c>
      <c r="H45" s="175" t="s">
        <v>268</v>
      </c>
      <c r="I45" s="63">
        <f t="shared" si="5"/>
        <v>956</v>
      </c>
      <c r="J45" s="63">
        <v>1356</v>
      </c>
      <c r="K45" s="63">
        <v>-400</v>
      </c>
      <c r="L45" s="606" t="s">
        <v>267</v>
      </c>
      <c r="M45" s="529"/>
      <c r="N45" s="178" t="s">
        <v>209</v>
      </c>
      <c r="O45" s="363">
        <v>1707</v>
      </c>
      <c r="P45" s="307">
        <v>1577</v>
      </c>
      <c r="Q45" s="307">
        <f t="shared" si="7"/>
        <v>130</v>
      </c>
      <c r="R45" s="911" t="s">
        <v>641</v>
      </c>
      <c r="S45" s="911"/>
      <c r="T45" s="363">
        <f t="shared" si="6"/>
        <v>2258</v>
      </c>
      <c r="U45" s="307">
        <v>1657</v>
      </c>
      <c r="V45" s="307">
        <f t="shared" si="8"/>
        <v>601</v>
      </c>
      <c r="W45" s="612" t="s">
        <v>641</v>
      </c>
      <c r="X45" s="617"/>
    </row>
    <row r="46" spans="1:24" ht="15" customHeight="1">
      <c r="A46" s="163"/>
      <c r="B46" s="918" t="s">
        <v>205</v>
      </c>
      <c r="C46" s="918"/>
      <c r="D46" s="614"/>
      <c r="E46" s="57">
        <f t="shared" si="4"/>
        <v>259</v>
      </c>
      <c r="F46" s="63">
        <v>518</v>
      </c>
      <c r="G46" s="63">
        <v>-259</v>
      </c>
      <c r="H46" s="175" t="s">
        <v>267</v>
      </c>
      <c r="I46" s="63">
        <f t="shared" si="5"/>
        <v>234</v>
      </c>
      <c r="J46" s="63">
        <v>415</v>
      </c>
      <c r="K46" s="63">
        <v>-181</v>
      </c>
      <c r="L46" s="606" t="s">
        <v>267</v>
      </c>
      <c r="M46" s="47"/>
      <c r="N46" s="63"/>
      <c r="O46" s="63"/>
      <c r="P46" s="63"/>
      <c r="Q46" s="623"/>
      <c r="R46" s="623"/>
      <c r="S46" s="623"/>
      <c r="T46" s="57"/>
      <c r="U46" s="57"/>
      <c r="V46" s="63"/>
      <c r="W46" s="7" t="s">
        <v>663</v>
      </c>
    </row>
    <row r="47" spans="1:24" ht="15" customHeight="1" thickBot="1">
      <c r="A47" s="165"/>
      <c r="B47" s="922" t="s">
        <v>209</v>
      </c>
      <c r="C47" s="922"/>
      <c r="D47" s="616"/>
      <c r="E47" s="172">
        <f t="shared" si="4"/>
        <v>1850</v>
      </c>
      <c r="F47" s="173">
        <v>1628</v>
      </c>
      <c r="G47" s="173">
        <v>222</v>
      </c>
      <c r="H47" s="177" t="s">
        <v>268</v>
      </c>
      <c r="I47" s="173">
        <f t="shared" si="5"/>
        <v>1438</v>
      </c>
      <c r="J47" s="173">
        <v>1580</v>
      </c>
      <c r="K47" s="173">
        <v>-142</v>
      </c>
      <c r="L47" s="608" t="s">
        <v>267</v>
      </c>
      <c r="M47" s="5" t="s">
        <v>272</v>
      </c>
      <c r="N47" s="53"/>
      <c r="O47" s="53"/>
      <c r="P47" s="53"/>
      <c r="Q47" s="53"/>
      <c r="R47" s="53"/>
      <c r="S47" s="53"/>
      <c r="T47" s="53"/>
      <c r="U47" s="53"/>
      <c r="V47" s="53"/>
    </row>
    <row r="48" spans="1:24" ht="15" customHeight="1">
      <c r="A48" s="47"/>
      <c r="B48" s="529" t="s">
        <v>271</v>
      </c>
      <c r="C48" s="44"/>
      <c r="D48" s="529"/>
      <c r="E48" s="57"/>
      <c r="F48" s="57"/>
      <c r="G48" s="57"/>
      <c r="H48" s="623"/>
      <c r="I48" s="57"/>
      <c r="J48" s="57"/>
      <c r="K48" s="57"/>
      <c r="L48" s="623"/>
      <c r="M48" s="5" t="s">
        <v>273</v>
      </c>
      <c r="N48" s="53"/>
      <c r="O48" s="53"/>
      <c r="P48" s="53"/>
      <c r="Q48" s="53"/>
      <c r="R48" s="53"/>
      <c r="S48" s="53"/>
      <c r="T48" s="53"/>
      <c r="U48" s="53"/>
      <c r="V48" s="53"/>
      <c r="W48" s="53"/>
    </row>
    <row r="49" spans="2:23" ht="15" customHeight="1">
      <c r="B49" s="924" t="s">
        <v>653</v>
      </c>
      <c r="C49" s="5" t="s">
        <v>650</v>
      </c>
      <c r="D49" s="5"/>
      <c r="E49" s="53"/>
      <c r="F49" s="53"/>
      <c r="G49" s="53"/>
      <c r="H49" s="53"/>
      <c r="I49" s="53"/>
      <c r="J49" s="53"/>
      <c r="K49" s="53"/>
      <c r="L49" s="54"/>
      <c r="M49" s="67" t="s">
        <v>274</v>
      </c>
      <c r="N49" s="67"/>
      <c r="O49" s="67"/>
      <c r="P49" s="67"/>
      <c r="Q49" s="67"/>
      <c r="S49" s="920" t="s">
        <v>275</v>
      </c>
      <c r="T49" s="920"/>
      <c r="U49" s="920"/>
      <c r="V49" s="920"/>
    </row>
    <row r="50" spans="2:23" ht="15" customHeight="1">
      <c r="B50" s="924"/>
      <c r="C50" s="5" t="s">
        <v>648</v>
      </c>
      <c r="D50" s="5"/>
      <c r="E50" s="53"/>
      <c r="F50" s="53"/>
      <c r="G50" s="53"/>
      <c r="H50" s="53"/>
      <c r="I50" s="53"/>
      <c r="J50" s="53"/>
      <c r="K50" s="53"/>
      <c r="L50" s="54"/>
      <c r="M50" s="67" t="s">
        <v>276</v>
      </c>
      <c r="N50" s="67"/>
      <c r="O50" s="67"/>
      <c r="P50" s="67"/>
      <c r="Q50" s="67"/>
      <c r="R50" s="53"/>
      <c r="S50" s="920" t="s">
        <v>277</v>
      </c>
      <c r="T50" s="920"/>
      <c r="U50" s="920"/>
      <c r="V50" s="920"/>
      <c r="W50" s="53"/>
    </row>
    <row r="51" spans="2:23" ht="15" customHeight="1">
      <c r="B51" s="924"/>
      <c r="C51" s="5" t="s">
        <v>649</v>
      </c>
      <c r="D51" s="5"/>
      <c r="E51" s="53"/>
      <c r="F51" s="53"/>
      <c r="G51" s="53"/>
      <c r="H51" s="53"/>
      <c r="I51" s="53"/>
      <c r="J51" s="53"/>
      <c r="K51" s="53"/>
      <c r="L51" s="54"/>
      <c r="M51" s="67" t="s">
        <v>278</v>
      </c>
      <c r="N51" s="67"/>
      <c r="O51" s="67"/>
      <c r="P51" s="67"/>
      <c r="Q51" s="67"/>
      <c r="R51" s="529"/>
      <c r="S51" s="920" t="s">
        <v>279</v>
      </c>
      <c r="T51" s="920"/>
      <c r="U51" s="920"/>
      <c r="V51" s="920"/>
      <c r="W51" s="529"/>
    </row>
    <row r="52" spans="2:23" ht="15" customHeight="1">
      <c r="B52" s="924"/>
      <c r="C52" s="5" t="s">
        <v>651</v>
      </c>
      <c r="D52" s="5"/>
      <c r="E52" s="53"/>
      <c r="F52" s="53"/>
      <c r="G52" s="53"/>
      <c r="H52" s="53"/>
      <c r="I52" s="53"/>
      <c r="J52" s="53"/>
      <c r="K52" s="53"/>
      <c r="L52" s="54"/>
      <c r="M52" s="919" t="s">
        <v>280</v>
      </c>
      <c r="N52" s="919"/>
      <c r="O52" s="919"/>
      <c r="P52" s="919"/>
      <c r="Q52" s="919"/>
      <c r="R52" s="529"/>
      <c r="S52" s="920" t="s">
        <v>281</v>
      </c>
      <c r="T52" s="920"/>
      <c r="U52" s="920"/>
      <c r="V52" s="920"/>
      <c r="W52" s="529"/>
    </row>
    <row r="53" spans="2:23" ht="15" customHeight="1">
      <c r="B53" s="924"/>
      <c r="C53" s="5" t="s">
        <v>652</v>
      </c>
      <c r="D53" s="5"/>
      <c r="E53" s="53"/>
      <c r="F53" s="53"/>
      <c r="G53" s="53"/>
      <c r="H53" s="53"/>
      <c r="I53" s="53"/>
      <c r="J53" s="53"/>
      <c r="K53" s="53"/>
      <c r="L53" s="54"/>
    </row>
  </sheetData>
  <sheetProtection selectLockedCells="1" selectUnlockedCells="1"/>
  <mergeCells count="151">
    <mergeCell ref="W19:X19"/>
    <mergeCell ref="W20:X20"/>
    <mergeCell ref="W21:X21"/>
    <mergeCell ref="W22:X22"/>
    <mergeCell ref="W23:X23"/>
    <mergeCell ref="B26:J26"/>
    <mergeCell ref="B27:K27"/>
    <mergeCell ref="A29:D30"/>
    <mergeCell ref="E29:H29"/>
    <mergeCell ref="I29:L29"/>
    <mergeCell ref="N29:N30"/>
    <mergeCell ref="O29:S29"/>
    <mergeCell ref="T29:W29"/>
    <mergeCell ref="R30:S30"/>
    <mergeCell ref="B21:C21"/>
    <mergeCell ref="E21:F21"/>
    <mergeCell ref="G21:H21"/>
    <mergeCell ref="R21:S21"/>
    <mergeCell ref="I21:J21"/>
    <mergeCell ref="B24:K24"/>
    <mergeCell ref="G22:H22"/>
    <mergeCell ref="I22:J22"/>
    <mergeCell ref="R20:S20"/>
    <mergeCell ref="R22:S22"/>
    <mergeCell ref="W10:X10"/>
    <mergeCell ref="W11:X11"/>
    <mergeCell ref="W12:X12"/>
    <mergeCell ref="W13:X13"/>
    <mergeCell ref="W14:X14"/>
    <mergeCell ref="W15:X15"/>
    <mergeCell ref="W16:X16"/>
    <mergeCell ref="W17:X17"/>
    <mergeCell ref="W18:X18"/>
    <mergeCell ref="B33:C33"/>
    <mergeCell ref="R31:S31"/>
    <mergeCell ref="R37:S37"/>
    <mergeCell ref="E22:F22"/>
    <mergeCell ref="B22:C22"/>
    <mergeCell ref="R23:S23"/>
    <mergeCell ref="R24:S24"/>
    <mergeCell ref="B23:C23"/>
    <mergeCell ref="E23:F23"/>
    <mergeCell ref="G23:H23"/>
    <mergeCell ref="I23:J23"/>
    <mergeCell ref="B20:C20"/>
    <mergeCell ref="R34:S34"/>
    <mergeCell ref="E20:F20"/>
    <mergeCell ref="G20:H20"/>
    <mergeCell ref="I20:J20"/>
    <mergeCell ref="B31:C31"/>
    <mergeCell ref="B44:C44"/>
    <mergeCell ref="R44:S44"/>
    <mergeCell ref="B42:C42"/>
    <mergeCell ref="B43:C43"/>
    <mergeCell ref="B41:C41"/>
    <mergeCell ref="R41:S41"/>
    <mergeCell ref="B40:C40"/>
    <mergeCell ref="R40:S40"/>
    <mergeCell ref="R43:S43"/>
    <mergeCell ref="B37:C37"/>
    <mergeCell ref="B36:C36"/>
    <mergeCell ref="R32:S32"/>
    <mergeCell ref="B34:C34"/>
    <mergeCell ref="B32:C32"/>
    <mergeCell ref="R33:S33"/>
    <mergeCell ref="R36:S36"/>
    <mergeCell ref="B35:C35"/>
    <mergeCell ref="R35:S35"/>
    <mergeCell ref="B39:C39"/>
    <mergeCell ref="R39:S39"/>
    <mergeCell ref="B38:C38"/>
    <mergeCell ref="R38:S38"/>
    <mergeCell ref="B45:C45"/>
    <mergeCell ref="R45:S45"/>
    <mergeCell ref="B46:C46"/>
    <mergeCell ref="S52:V52"/>
    <mergeCell ref="S50:V50"/>
    <mergeCell ref="S51:V51"/>
    <mergeCell ref="B47:C47"/>
    <mergeCell ref="B49:B53"/>
    <mergeCell ref="S49:V49"/>
    <mergeCell ref="M52:Q52"/>
    <mergeCell ref="R18:S18"/>
    <mergeCell ref="B19:C19"/>
    <mergeCell ref="E19:F19"/>
    <mergeCell ref="G19:H19"/>
    <mergeCell ref="I19:J19"/>
    <mergeCell ref="R19:S19"/>
    <mergeCell ref="B18:C18"/>
    <mergeCell ref="E18:F18"/>
    <mergeCell ref="G18:H18"/>
    <mergeCell ref="I18:J18"/>
    <mergeCell ref="R16:S16"/>
    <mergeCell ref="B17:C17"/>
    <mergeCell ref="E17:F17"/>
    <mergeCell ref="G17:H17"/>
    <mergeCell ref="I17:J17"/>
    <mergeCell ref="R17:S17"/>
    <mergeCell ref="B16:C16"/>
    <mergeCell ref="E16:F16"/>
    <mergeCell ref="G16:H16"/>
    <mergeCell ref="I16:J16"/>
    <mergeCell ref="R14:S14"/>
    <mergeCell ref="B15:C15"/>
    <mergeCell ref="E15:F15"/>
    <mergeCell ref="G15:H15"/>
    <mergeCell ref="I15:J15"/>
    <mergeCell ref="R15:S15"/>
    <mergeCell ref="B14:C14"/>
    <mergeCell ref="E14:F14"/>
    <mergeCell ref="G14:H14"/>
    <mergeCell ref="I14:J14"/>
    <mergeCell ref="R12:S12"/>
    <mergeCell ref="B13:C13"/>
    <mergeCell ref="E13:F13"/>
    <mergeCell ref="G13:H13"/>
    <mergeCell ref="I13:J13"/>
    <mergeCell ref="R13:S13"/>
    <mergeCell ref="B12:C12"/>
    <mergeCell ref="E12:F12"/>
    <mergeCell ref="G12:H12"/>
    <mergeCell ref="I12:J12"/>
    <mergeCell ref="R10:S10"/>
    <mergeCell ref="B11:C11"/>
    <mergeCell ref="E11:F11"/>
    <mergeCell ref="G11:H11"/>
    <mergeCell ref="I11:J11"/>
    <mergeCell ref="R11:S11"/>
    <mergeCell ref="B10:C10"/>
    <mergeCell ref="E10:F10"/>
    <mergeCell ref="G10:H10"/>
    <mergeCell ref="I10:J10"/>
    <mergeCell ref="A4:L4"/>
    <mergeCell ref="N4:W4"/>
    <mergeCell ref="A5:L5"/>
    <mergeCell ref="N5:W5"/>
    <mergeCell ref="R8:S8"/>
    <mergeCell ref="O7:P7"/>
    <mergeCell ref="Q7:T7"/>
    <mergeCell ref="U7:V7"/>
    <mergeCell ref="R9:S9"/>
    <mergeCell ref="A7:D8"/>
    <mergeCell ref="E7:F8"/>
    <mergeCell ref="G7:H8"/>
    <mergeCell ref="I7:L7"/>
    <mergeCell ref="B9:C9"/>
    <mergeCell ref="E9:F9"/>
    <mergeCell ref="G9:H9"/>
    <mergeCell ref="I9:J9"/>
    <mergeCell ref="I8:J8"/>
    <mergeCell ref="W9:X9"/>
  </mergeCells>
  <phoneticPr fontId="19"/>
  <printOptions horizontalCentered="1"/>
  <pageMargins left="0.59055118110236227" right="0.59055118110236227" top="0.59055118110236227" bottom="0.59055118110236227" header="0.39370078740157483" footer="0.39370078740157483"/>
  <pageSetup paperSize="9" scale="99" firstPageNumber="0" orientation="portrait" r:id="rId1"/>
  <headerFooter scaleWithDoc="0" alignWithMargins="0">
    <oddHeader>&amp;R&amp;"ＭＳ 明朝,標準"&amp;10人　口</oddHeader>
    <oddFooter>&amp;C&amp;"ＭＳ 明朝,標準"&amp;12&amp;A</oddFooter>
  </headerFooter>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グラフ</vt:lpstr>
      <vt:lpstr>'-39-'!Print_Area</vt:lpstr>
      <vt:lpstr>‐40‐!Print_Area</vt:lpstr>
      <vt:lpstr>‐41‐!Print_Area</vt:lpstr>
      <vt:lpstr>‐42‐!Print_Area</vt:lpstr>
      <vt:lpstr>‐43‐!Print_Area</vt:lpstr>
      <vt:lpstr>‐44‐!Print_Area</vt:lpstr>
      <vt:lpstr>‐46‐!Print_Area</vt:lpstr>
      <vt:lpstr>‐47‐!Print_Area</vt:lpstr>
      <vt:lpstr>‐48‐!Print_Area</vt:lpstr>
      <vt:lpstr>‐50‐!Print_Area</vt:lpstr>
      <vt:lpstr>‐51‐!Print_Area</vt:lpstr>
      <vt:lpstr>‐52‐!Print_Area</vt:lpstr>
      <vt:lpstr>‐53‐!Print_Area</vt:lpstr>
      <vt:lpstr>‐54‐!Print_Area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島袋 若奈</dc:creator>
  <cp:lastModifiedBy>島袋 若奈</cp:lastModifiedBy>
  <cp:lastPrinted>2017-03-08T06:54:46Z</cp:lastPrinted>
  <dcterms:created xsi:type="dcterms:W3CDTF">2012-02-23T07:51:36Z</dcterms:created>
  <dcterms:modified xsi:type="dcterms:W3CDTF">2017-03-08T06:55:43Z</dcterms:modified>
</cp:coreProperties>
</file>