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Default Extension="png" ContentType="image/png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40" yWindow="-30" windowWidth="15480" windowHeight="5085" tabRatio="601" firstSheet="6" activeTab="16"/>
  </bookViews>
  <sheets>
    <sheet name="-39-" sheetId="14" r:id="rId1"/>
    <sheet name="‐40‐" sheetId="2" r:id="rId2"/>
    <sheet name="‐41‐" sheetId="18" r:id="rId3"/>
    <sheet name="‐42‐" sheetId="3" r:id="rId4"/>
    <sheet name="‐43‐" sheetId="4" r:id="rId5"/>
    <sheet name="‐44‐" sheetId="5" r:id="rId6"/>
    <sheet name="‐45‐" sheetId="6" r:id="rId7"/>
    <sheet name="‐46‐" sheetId="7" r:id="rId8"/>
    <sheet name="‐47‐" sheetId="19" r:id="rId9"/>
    <sheet name="‐48‐" sheetId="8" r:id="rId10"/>
    <sheet name="‐49‐" sheetId="9" r:id="rId11"/>
    <sheet name="‐50‐" sheetId="10" r:id="rId12"/>
    <sheet name="‐51‐" sheetId="17" r:id="rId13"/>
    <sheet name="‐52‐" sheetId="15" r:id="rId14"/>
    <sheet name="‐53‐" sheetId="11" r:id="rId15"/>
    <sheet name="‐54‐" sheetId="12" r:id="rId16"/>
    <sheet name="グラフ" sheetId="20" r:id="rId17"/>
  </sheets>
  <definedNames>
    <definedName name="_xlnm.Print_Area" localSheetId="0">'-39-'!$A$1:$J$47</definedName>
    <definedName name="_xlnm.Print_Area" localSheetId="1">‐40‐!$A$1:$H$49</definedName>
    <definedName name="_xlnm.Print_Area" localSheetId="2">‐41‐!$I$1:$P$49</definedName>
    <definedName name="_xlnm.Print_Area" localSheetId="3">‐42‐!$A$1:$J$57</definedName>
    <definedName name="_xlnm.Print_Area" localSheetId="4">‐43‐!$A$1:$H$30</definedName>
    <definedName name="_xlnm.Print_Area" localSheetId="5">‐44‐!$A$1:$L$56</definedName>
    <definedName name="_xlnm.Print_Area" localSheetId="7">‐46‐!$A$1:$L$53</definedName>
    <definedName name="_xlnm.Print_Area" localSheetId="8">‐47‐!$M$1:$W$53</definedName>
    <definedName name="_xlnm.Print_Area" localSheetId="9">‐48‐!$A$1:$G$44</definedName>
    <definedName name="_xlnm.Print_Area" localSheetId="11">‐50‐!$A$1:$M$38</definedName>
    <definedName name="_xlnm.Print_Area" localSheetId="12">‐51‐!$N$1:$X$39</definedName>
    <definedName name="_xlnm.Print_Area" localSheetId="13">‐52‐!$A$1:$H$40</definedName>
    <definedName name="_xlnm.Print_Area" localSheetId="14">‐53‐!$I$1:$Q$40</definedName>
    <definedName name="_xlnm.Print_Area" localSheetId="15">‐54‐!$A$1:$K$37</definedName>
    <definedName name="_xlnm.Print_Area" localSheetId="16">グラフ!$A$1:$F$244</definedName>
  </definedNames>
  <calcPr calcId="125725"/>
</workbook>
</file>

<file path=xl/calcChain.xml><?xml version="1.0" encoding="utf-8"?>
<calcChain xmlns="http://schemas.openxmlformats.org/spreadsheetml/2006/main">
  <c r="H17" i="4"/>
  <c r="F17"/>
  <c r="P20" i="15"/>
  <c r="N20"/>
  <c r="L20"/>
  <c r="P19"/>
  <c r="N19"/>
  <c r="L19"/>
  <c r="P18"/>
  <c r="N18"/>
  <c r="L18"/>
  <c r="P17"/>
  <c r="N17"/>
  <c r="L17"/>
  <c r="P16"/>
  <c r="N16"/>
  <c r="L16"/>
  <c r="P15"/>
  <c r="N15"/>
  <c r="L15"/>
  <c r="P14"/>
  <c r="N14"/>
  <c r="L14"/>
  <c r="P13"/>
  <c r="N13"/>
  <c r="L13"/>
  <c r="P12"/>
  <c r="N12"/>
  <c r="L12"/>
  <c r="P11"/>
  <c r="N11"/>
  <c r="L11"/>
  <c r="P10"/>
  <c r="N10"/>
  <c r="L10"/>
  <c r="H34" i="11"/>
  <c r="D34"/>
  <c r="C34" s="1"/>
  <c r="H31"/>
  <c r="C31" s="1"/>
  <c r="D31"/>
  <c r="H28"/>
  <c r="D28"/>
  <c r="C28" s="1"/>
  <c r="G20"/>
  <c r="G19"/>
  <c r="J19"/>
  <c r="G18"/>
  <c r="G17"/>
  <c r="J17" s="1"/>
  <c r="G16"/>
  <c r="J16" s="1"/>
  <c r="G15"/>
  <c r="J15" s="1"/>
  <c r="G14"/>
  <c r="G12"/>
  <c r="G11"/>
  <c r="J11" s="1"/>
  <c r="G10"/>
  <c r="X36" i="10"/>
  <c r="W36"/>
  <c r="V36"/>
  <c r="U36"/>
  <c r="T36"/>
  <c r="S36"/>
  <c r="R36"/>
  <c r="Q36"/>
  <c r="P36"/>
  <c r="O36"/>
  <c r="N36"/>
  <c r="X32"/>
  <c r="W32"/>
  <c r="V32"/>
  <c r="U32"/>
  <c r="T32"/>
  <c r="S32"/>
  <c r="R32"/>
  <c r="Q32"/>
  <c r="P32"/>
  <c r="O32"/>
  <c r="N32"/>
  <c r="X28"/>
  <c r="W28"/>
  <c r="V28"/>
  <c r="U28"/>
  <c r="T28"/>
  <c r="S28"/>
  <c r="R28"/>
  <c r="Q28"/>
  <c r="P28"/>
  <c r="O28"/>
  <c r="N28"/>
  <c r="X24"/>
  <c r="W24"/>
  <c r="V24"/>
  <c r="U24"/>
  <c r="T24"/>
  <c r="S24"/>
  <c r="R24"/>
  <c r="Q24"/>
  <c r="P24"/>
  <c r="O24"/>
  <c r="N24"/>
  <c r="D38" i="17"/>
  <c r="D37"/>
  <c r="L36"/>
  <c r="K36"/>
  <c r="J36"/>
  <c r="I36"/>
  <c r="H36"/>
  <c r="G36"/>
  <c r="F36"/>
  <c r="D34"/>
  <c r="D33"/>
  <c r="L32"/>
  <c r="K32"/>
  <c r="J32"/>
  <c r="I32"/>
  <c r="H32"/>
  <c r="G32"/>
  <c r="F32"/>
  <c r="D30"/>
  <c r="D29"/>
  <c r="L28"/>
  <c r="K28"/>
  <c r="J28"/>
  <c r="I28"/>
  <c r="H28"/>
  <c r="G28"/>
  <c r="F28"/>
  <c r="D26"/>
  <c r="D25"/>
  <c r="L24"/>
  <c r="K24"/>
  <c r="J24"/>
  <c r="I24"/>
  <c r="H24"/>
  <c r="G24"/>
  <c r="F24"/>
  <c r="J16"/>
  <c r="O46" i="7"/>
  <c r="O45"/>
  <c r="O44"/>
  <c r="O43"/>
  <c r="O42"/>
  <c r="O41"/>
  <c r="O40"/>
  <c r="O39"/>
  <c r="O38"/>
  <c r="O37"/>
  <c r="O36"/>
  <c r="O34"/>
  <c r="O33"/>
  <c r="O32"/>
  <c r="I46" i="19"/>
  <c r="E46"/>
  <c r="I45"/>
  <c r="E45"/>
  <c r="I44"/>
  <c r="E44"/>
  <c r="I43"/>
  <c r="E43"/>
  <c r="I42"/>
  <c r="E42"/>
  <c r="I41"/>
  <c r="E41"/>
  <c r="I40"/>
  <c r="E40"/>
  <c r="I39"/>
  <c r="E39"/>
  <c r="I38"/>
  <c r="E38"/>
  <c r="I37"/>
  <c r="E37"/>
  <c r="I36"/>
  <c r="E36"/>
  <c r="I35"/>
  <c r="E35"/>
  <c r="I34"/>
  <c r="E34"/>
  <c r="I33"/>
  <c r="E33"/>
  <c r="I32"/>
  <c r="E32"/>
  <c r="I23"/>
  <c r="I22"/>
  <c r="R22"/>
  <c r="T22" s="1"/>
  <c r="I21"/>
  <c r="I20"/>
  <c r="I19"/>
  <c r="I18"/>
  <c r="O18"/>
  <c r="P18" s="1"/>
  <c r="I17"/>
  <c r="R17" s="1"/>
  <c r="T17" s="1"/>
  <c r="I16"/>
  <c r="I15"/>
  <c r="O15" s="1"/>
  <c r="P15" s="1"/>
  <c r="I14"/>
  <c r="O14"/>
  <c r="P14" s="1"/>
  <c r="I13"/>
  <c r="I12"/>
  <c r="I11"/>
  <c r="O11" s="1"/>
  <c r="P11" s="1"/>
  <c r="I10"/>
  <c r="R10"/>
  <c r="T10" s="1"/>
  <c r="I9"/>
  <c r="H47" i="18"/>
  <c r="G47"/>
  <c r="D47"/>
  <c r="C47"/>
  <c r="F46"/>
  <c r="B46"/>
  <c r="F45"/>
  <c r="B45"/>
  <c r="F44"/>
  <c r="B44"/>
  <c r="B47" s="1"/>
  <c r="F43"/>
  <c r="B43"/>
  <c r="F42"/>
  <c r="F47"/>
  <c r="B42"/>
  <c r="H40"/>
  <c r="G40"/>
  <c r="D40"/>
  <c r="C40"/>
  <c r="F39"/>
  <c r="B39"/>
  <c r="F38"/>
  <c r="B38"/>
  <c r="F37"/>
  <c r="B37"/>
  <c r="F36"/>
  <c r="B36"/>
  <c r="F35"/>
  <c r="F40" s="1"/>
  <c r="B35"/>
  <c r="B40" s="1"/>
  <c r="H33"/>
  <c r="G33"/>
  <c r="D33"/>
  <c r="C33"/>
  <c r="F32"/>
  <c r="B32"/>
  <c r="F31"/>
  <c r="B31"/>
  <c r="F30"/>
  <c r="B30"/>
  <c r="B33" s="1"/>
  <c r="F29"/>
  <c r="B29"/>
  <c r="F28"/>
  <c r="F33"/>
  <c r="B28"/>
  <c r="H26"/>
  <c r="G26"/>
  <c r="D26"/>
  <c r="C26"/>
  <c r="F25"/>
  <c r="B25"/>
  <c r="F24"/>
  <c r="B24"/>
  <c r="F23"/>
  <c r="B23"/>
  <c r="F22"/>
  <c r="B22"/>
  <c r="F21"/>
  <c r="F26" s="1"/>
  <c r="B21"/>
  <c r="B26" s="1"/>
  <c r="H19"/>
  <c r="G19"/>
  <c r="D19"/>
  <c r="C19"/>
  <c r="F18"/>
  <c r="B18"/>
  <c r="F17"/>
  <c r="B17"/>
  <c r="F16"/>
  <c r="B16"/>
  <c r="B19" s="1"/>
  <c r="F15"/>
  <c r="B15"/>
  <c r="F14"/>
  <c r="F19"/>
  <c r="B14"/>
  <c r="H12"/>
  <c r="G12"/>
  <c r="D12"/>
  <c r="C12"/>
  <c r="F11"/>
  <c r="B11"/>
  <c r="F10"/>
  <c r="B10"/>
  <c r="F9"/>
  <c r="B9"/>
  <c r="B12" s="1"/>
  <c r="F8"/>
  <c r="B8"/>
  <c r="F7"/>
  <c r="F12" s="1"/>
  <c r="B7"/>
  <c r="L47" i="2"/>
  <c r="K47"/>
  <c r="J46"/>
  <c r="J45"/>
  <c r="J44"/>
  <c r="J47"/>
  <c r="J43"/>
  <c r="J42"/>
  <c r="N40"/>
  <c r="L40"/>
  <c r="K40"/>
  <c r="N39"/>
  <c r="J39"/>
  <c r="N38"/>
  <c r="J38"/>
  <c r="J37"/>
  <c r="N36"/>
  <c r="J36"/>
  <c r="N35"/>
  <c r="J35"/>
  <c r="J40" s="1"/>
  <c r="N34"/>
  <c r="N33"/>
  <c r="L33"/>
  <c r="K33"/>
  <c r="N32"/>
  <c r="J32"/>
  <c r="J31"/>
  <c r="J30"/>
  <c r="J29"/>
  <c r="N28"/>
  <c r="J28"/>
  <c r="P26"/>
  <c r="O26"/>
  <c r="L26"/>
  <c r="K26"/>
  <c r="N25"/>
  <c r="J25"/>
  <c r="N24"/>
  <c r="J24"/>
  <c r="N23"/>
  <c r="J23"/>
  <c r="J26" s="1"/>
  <c r="N22"/>
  <c r="J22"/>
  <c r="N21"/>
  <c r="N26"/>
  <c r="J21"/>
  <c r="P19"/>
  <c r="O19"/>
  <c r="L19"/>
  <c r="K19"/>
  <c r="N18"/>
  <c r="J18"/>
  <c r="N17"/>
  <c r="J17"/>
  <c r="N16"/>
  <c r="J16"/>
  <c r="N15"/>
  <c r="J15"/>
  <c r="N14"/>
  <c r="N19" s="1"/>
  <c r="J14"/>
  <c r="J19" s="1"/>
  <c r="P12"/>
  <c r="O12"/>
  <c r="L12"/>
  <c r="K12"/>
  <c r="N11"/>
  <c r="J11"/>
  <c r="N10"/>
  <c r="J10"/>
  <c r="N9"/>
  <c r="J9"/>
  <c r="J12" s="1"/>
  <c r="N8"/>
  <c r="J8"/>
  <c r="N7"/>
  <c r="N12"/>
  <c r="J7"/>
  <c r="H81" i="20"/>
  <c r="L104"/>
  <c r="L103"/>
  <c r="L102"/>
  <c r="L101"/>
  <c r="K88" s="1"/>
  <c r="I88" s="1"/>
  <c r="L100"/>
  <c r="L99"/>
  <c r="L98"/>
  <c r="L97"/>
  <c r="L96"/>
  <c r="L95"/>
  <c r="L94"/>
  <c r="K104"/>
  <c r="K91" s="1"/>
  <c r="K103"/>
  <c r="K90"/>
  <c r="K102"/>
  <c r="K89" s="1"/>
  <c r="K101"/>
  <c r="K100"/>
  <c r="K87" s="1"/>
  <c r="K99"/>
  <c r="K86"/>
  <c r="K98"/>
  <c r="K97"/>
  <c r="K84" s="1"/>
  <c r="K96"/>
  <c r="K83"/>
  <c r="K95"/>
  <c r="K82" s="1"/>
  <c r="I82" s="1"/>
  <c r="K94"/>
  <c r="K81"/>
  <c r="J104"/>
  <c r="J103"/>
  <c r="I103"/>
  <c r="J90"/>
  <c r="I90" s="1"/>
  <c r="J102"/>
  <c r="J101"/>
  <c r="J100"/>
  <c r="J99"/>
  <c r="J98"/>
  <c r="J97"/>
  <c r="J96"/>
  <c r="J95"/>
  <c r="J94"/>
  <c r="H94"/>
  <c r="I104"/>
  <c r="J91" s="1"/>
  <c r="I91" s="1"/>
  <c r="I102"/>
  <c r="J89"/>
  <c r="I89" s="1"/>
  <c r="I101"/>
  <c r="J88"/>
  <c r="I100"/>
  <c r="J87" s="1"/>
  <c r="I99"/>
  <c r="J86"/>
  <c r="I86" s="1"/>
  <c r="I98"/>
  <c r="J85"/>
  <c r="I97"/>
  <c r="J84" s="1"/>
  <c r="I84" s="1"/>
  <c r="I96"/>
  <c r="J83"/>
  <c r="I83" s="1"/>
  <c r="I95"/>
  <c r="J82"/>
  <c r="I94"/>
  <c r="J81" s="1"/>
  <c r="I81" s="1"/>
  <c r="I46"/>
  <c r="I47" s="1"/>
  <c r="I45"/>
  <c r="I44"/>
  <c r="I40"/>
  <c r="C33" i="2"/>
  <c r="C26"/>
  <c r="C19"/>
  <c r="C12"/>
  <c r="I38" i="20"/>
  <c r="I41" s="1"/>
  <c r="I39"/>
  <c r="L3"/>
  <c r="J14"/>
  <c r="L14" s="1"/>
  <c r="J13"/>
  <c r="J12"/>
  <c r="J11"/>
  <c r="I11"/>
  <c r="L11" s="1"/>
  <c r="M12" s="1"/>
  <c r="K12" s="1"/>
  <c r="J10"/>
  <c r="J9"/>
  <c r="J8"/>
  <c r="I8"/>
  <c r="L8" s="1"/>
  <c r="J7"/>
  <c r="J6"/>
  <c r="L6" s="1"/>
  <c r="J5"/>
  <c r="I14"/>
  <c r="I13"/>
  <c r="L13" s="1"/>
  <c r="M13" s="1"/>
  <c r="K13" s="1"/>
  <c r="I12"/>
  <c r="L12"/>
  <c r="I10"/>
  <c r="L10"/>
  <c r="I9"/>
  <c r="L9" s="1"/>
  <c r="I7"/>
  <c r="L7" s="1"/>
  <c r="M7" s="1"/>
  <c r="K7" s="1"/>
  <c r="I6"/>
  <c r="I5"/>
  <c r="L5"/>
  <c r="M5"/>
  <c r="K5" s="1"/>
  <c r="H14"/>
  <c r="H13"/>
  <c r="H12"/>
  <c r="H11"/>
  <c r="H10"/>
  <c r="H9"/>
  <c r="H8"/>
  <c r="H7"/>
  <c r="H6"/>
  <c r="H5"/>
  <c r="I30"/>
  <c r="I29"/>
  <c r="I28"/>
  <c r="I27"/>
  <c r="I26"/>
  <c r="I25"/>
  <c r="I24"/>
  <c r="I23"/>
  <c r="I22"/>
  <c r="I21"/>
  <c r="I20"/>
  <c r="I19"/>
  <c r="I18"/>
  <c r="I17"/>
  <c r="K134"/>
  <c r="K133"/>
  <c r="K132"/>
  <c r="K131"/>
  <c r="K130"/>
  <c r="K129"/>
  <c r="K128"/>
  <c r="K127"/>
  <c r="K126"/>
  <c r="K125"/>
  <c r="J134"/>
  <c r="J133"/>
  <c r="J132"/>
  <c r="J131"/>
  <c r="J130"/>
  <c r="J129"/>
  <c r="J128"/>
  <c r="J127"/>
  <c r="J126"/>
  <c r="J125"/>
  <c r="I134"/>
  <c r="I133"/>
  <c r="I132"/>
  <c r="I131"/>
  <c r="I130"/>
  <c r="I129"/>
  <c r="I128"/>
  <c r="I127"/>
  <c r="I126"/>
  <c r="I125"/>
  <c r="K198"/>
  <c r="K197"/>
  <c r="I198"/>
  <c r="J198"/>
  <c r="J197"/>
  <c r="I197"/>
  <c r="K188"/>
  <c r="K187"/>
  <c r="J189"/>
  <c r="J188"/>
  <c r="J187"/>
  <c r="I189"/>
  <c r="I188"/>
  <c r="I187"/>
  <c r="B26" i="4"/>
  <c r="H26"/>
  <c r="L49" i="6"/>
  <c r="N40" s="1"/>
  <c r="H27" i="4"/>
  <c r="H25"/>
  <c r="H24"/>
  <c r="H23"/>
  <c r="H22"/>
  <c r="H21"/>
  <c r="H20"/>
  <c r="H19"/>
  <c r="H18"/>
  <c r="H16"/>
  <c r="H15"/>
  <c r="H14"/>
  <c r="H13"/>
  <c r="H12"/>
  <c r="H11"/>
  <c r="H10"/>
  <c r="H9"/>
  <c r="H8"/>
  <c r="C6"/>
  <c r="E6"/>
  <c r="K47" i="18"/>
  <c r="L47"/>
  <c r="N33"/>
  <c r="L12"/>
  <c r="L19"/>
  <c r="L26"/>
  <c r="D5" s="1"/>
  <c r="L33"/>
  <c r="L40"/>
  <c r="P12"/>
  <c r="P19"/>
  <c r="P26"/>
  <c r="K12"/>
  <c r="K19"/>
  <c r="K26"/>
  <c r="K33"/>
  <c r="K40"/>
  <c r="O12"/>
  <c r="O19"/>
  <c r="O26"/>
  <c r="E7" i="3"/>
  <c r="E14"/>
  <c r="E21"/>
  <c r="E6" s="1"/>
  <c r="J15" s="1"/>
  <c r="E27"/>
  <c r="E32"/>
  <c r="E38"/>
  <c r="E46"/>
  <c r="F13"/>
  <c r="I13"/>
  <c r="C46"/>
  <c r="D7"/>
  <c r="D14"/>
  <c r="D21"/>
  <c r="D27"/>
  <c r="D32"/>
  <c r="D38"/>
  <c r="D46"/>
  <c r="G7"/>
  <c r="G14"/>
  <c r="G21"/>
  <c r="G27"/>
  <c r="G6"/>
  <c r="G32"/>
  <c r="G38"/>
  <c r="G46"/>
  <c r="H7"/>
  <c r="H14"/>
  <c r="H21"/>
  <c r="H27"/>
  <c r="H32"/>
  <c r="H38"/>
  <c r="H46"/>
  <c r="B46" i="14"/>
  <c r="B45"/>
  <c r="B44"/>
  <c r="B43"/>
  <c r="B42"/>
  <c r="B41"/>
  <c r="B40"/>
  <c r="B39"/>
  <c r="B38"/>
  <c r="E46"/>
  <c r="C15"/>
  <c r="G15" s="1"/>
  <c r="I15" s="1"/>
  <c r="C30"/>
  <c r="F30" s="1"/>
  <c r="C14"/>
  <c r="F14" s="1"/>
  <c r="C13"/>
  <c r="C4" i="6"/>
  <c r="D8" s="1"/>
  <c r="H41" i="5"/>
  <c r="H40"/>
  <c r="E41"/>
  <c r="C41" s="1"/>
  <c r="E40"/>
  <c r="C40"/>
  <c r="H37"/>
  <c r="C37" s="1"/>
  <c r="E34"/>
  <c r="C34" s="1"/>
  <c r="E39"/>
  <c r="C39"/>
  <c r="H39"/>
  <c r="K4"/>
  <c r="J4"/>
  <c r="I4"/>
  <c r="H4"/>
  <c r="G4"/>
  <c r="F4"/>
  <c r="E4"/>
  <c r="E25"/>
  <c r="E26"/>
  <c r="E27"/>
  <c r="E28"/>
  <c r="E29"/>
  <c r="E30"/>
  <c r="E31"/>
  <c r="E32"/>
  <c r="E33"/>
  <c r="E35"/>
  <c r="E36"/>
  <c r="C36" s="1"/>
  <c r="E37"/>
  <c r="E38"/>
  <c r="E43"/>
  <c r="C43" s="1"/>
  <c r="E44"/>
  <c r="C44" s="1"/>
  <c r="E45"/>
  <c r="E46"/>
  <c r="C46" s="1"/>
  <c r="E47"/>
  <c r="E48"/>
  <c r="E49"/>
  <c r="E50"/>
  <c r="E51"/>
  <c r="C51" s="1"/>
  <c r="E52"/>
  <c r="E53"/>
  <c r="E54"/>
  <c r="L4"/>
  <c r="H45" i="14"/>
  <c r="G29"/>
  <c r="I29"/>
  <c r="C27"/>
  <c r="G28" s="1"/>
  <c r="I28" s="1"/>
  <c r="F28"/>
  <c r="F29"/>
  <c r="C12"/>
  <c r="C11"/>
  <c r="G11"/>
  <c r="I11" s="1"/>
  <c r="H34" i="15"/>
  <c r="D34"/>
  <c r="C34"/>
  <c r="H31"/>
  <c r="D31"/>
  <c r="C31"/>
  <c r="H28"/>
  <c r="D28"/>
  <c r="C28" s="1"/>
  <c r="N40" i="18"/>
  <c r="N39"/>
  <c r="N38"/>
  <c r="C6" i="12"/>
  <c r="C7"/>
  <c r="C9"/>
  <c r="C10"/>
  <c r="C11"/>
  <c r="C12"/>
  <c r="C13"/>
  <c r="C14"/>
  <c r="C15"/>
  <c r="C16"/>
  <c r="C17"/>
  <c r="C18"/>
  <c r="G25"/>
  <c r="G26"/>
  <c r="G27"/>
  <c r="G28"/>
  <c r="G29"/>
  <c r="G30"/>
  <c r="G31"/>
  <c r="G32"/>
  <c r="J10" i="11"/>
  <c r="L10"/>
  <c r="N10"/>
  <c r="P10"/>
  <c r="L11"/>
  <c r="N11"/>
  <c r="P11"/>
  <c r="J12"/>
  <c r="L12"/>
  <c r="N12"/>
  <c r="P12"/>
  <c r="L13"/>
  <c r="N13"/>
  <c r="P13"/>
  <c r="J14"/>
  <c r="L14"/>
  <c r="N14"/>
  <c r="I157" i="20"/>
  <c r="J157" s="1"/>
  <c r="P14" i="11"/>
  <c r="I156" i="20"/>
  <c r="J156"/>
  <c r="L15" i="11"/>
  <c r="N15"/>
  <c r="P15"/>
  <c r="L16"/>
  <c r="N16"/>
  <c r="P16"/>
  <c r="L17"/>
  <c r="N17"/>
  <c r="P17"/>
  <c r="J18"/>
  <c r="L18"/>
  <c r="N18"/>
  <c r="P18"/>
  <c r="L19"/>
  <c r="N19"/>
  <c r="P19"/>
  <c r="L20"/>
  <c r="N20"/>
  <c r="P20"/>
  <c r="G10" i="15"/>
  <c r="J10" s="1"/>
  <c r="G11"/>
  <c r="J11"/>
  <c r="G12"/>
  <c r="J12" s="1"/>
  <c r="G14"/>
  <c r="J14"/>
  <c r="G15"/>
  <c r="J15" s="1"/>
  <c r="G16"/>
  <c r="J16"/>
  <c r="G17"/>
  <c r="J17" s="1"/>
  <c r="G18"/>
  <c r="J18"/>
  <c r="G19"/>
  <c r="J19" s="1"/>
  <c r="G20"/>
  <c r="N24" i="17"/>
  <c r="O24"/>
  <c r="P24"/>
  <c r="Q24"/>
  <c r="R24"/>
  <c r="S24"/>
  <c r="T24"/>
  <c r="U24"/>
  <c r="V24"/>
  <c r="W24"/>
  <c r="W23" s="1"/>
  <c r="X24"/>
  <c r="N28"/>
  <c r="O28"/>
  <c r="P28"/>
  <c r="Q28"/>
  <c r="R28"/>
  <c r="S28"/>
  <c r="T28"/>
  <c r="U28"/>
  <c r="V28"/>
  <c r="W28"/>
  <c r="X28"/>
  <c r="N32"/>
  <c r="O32"/>
  <c r="P32"/>
  <c r="Q32"/>
  <c r="D32" s="1"/>
  <c r="N31" s="1"/>
  <c r="R32"/>
  <c r="S32"/>
  <c r="T32"/>
  <c r="U32"/>
  <c r="V32"/>
  <c r="W32"/>
  <c r="X32"/>
  <c r="N36"/>
  <c r="D36" s="1"/>
  <c r="P35" s="1"/>
  <c r="O36"/>
  <c r="P36"/>
  <c r="Q36"/>
  <c r="R36"/>
  <c r="R35" s="1"/>
  <c r="S36"/>
  <c r="T36"/>
  <c r="U36"/>
  <c r="V36"/>
  <c r="W36"/>
  <c r="X36"/>
  <c r="J16" i="10"/>
  <c r="K189" i="20"/>
  <c r="F24" i="10"/>
  <c r="G24"/>
  <c r="H24"/>
  <c r="I24"/>
  <c r="J24"/>
  <c r="K24"/>
  <c r="L24"/>
  <c r="D25"/>
  <c r="D26"/>
  <c r="F28"/>
  <c r="G28"/>
  <c r="H28"/>
  <c r="I28"/>
  <c r="J28"/>
  <c r="K28"/>
  <c r="L28"/>
  <c r="D29"/>
  <c r="D30"/>
  <c r="F32"/>
  <c r="G32"/>
  <c r="H32"/>
  <c r="I32"/>
  <c r="D32"/>
  <c r="P31" s="1"/>
  <c r="J32"/>
  <c r="K32"/>
  <c r="L32"/>
  <c r="D33"/>
  <c r="D34"/>
  <c r="F36"/>
  <c r="G36"/>
  <c r="H36"/>
  <c r="I36"/>
  <c r="J36"/>
  <c r="K36"/>
  <c r="L36"/>
  <c r="D37"/>
  <c r="D38"/>
  <c r="C5" i="9"/>
  <c r="D5"/>
  <c r="E5"/>
  <c r="F5"/>
  <c r="G5"/>
  <c r="H5"/>
  <c r="I5"/>
  <c r="J5"/>
  <c r="K5"/>
  <c r="L5"/>
  <c r="B6"/>
  <c r="B7"/>
  <c r="B8"/>
  <c r="B9"/>
  <c r="B10"/>
  <c r="B11"/>
  <c r="B12"/>
  <c r="B13"/>
  <c r="L15"/>
  <c r="B16"/>
  <c r="B17"/>
  <c r="B18"/>
  <c r="B19"/>
  <c r="C20"/>
  <c r="D20"/>
  <c r="B20" s="1"/>
  <c r="E20"/>
  <c r="F20"/>
  <c r="H20"/>
  <c r="H15" s="1"/>
  <c r="I20"/>
  <c r="I15" s="1"/>
  <c r="J20"/>
  <c r="C21"/>
  <c r="B21" s="1"/>
  <c r="D21"/>
  <c r="E21"/>
  <c r="F21"/>
  <c r="G21"/>
  <c r="G15" s="1"/>
  <c r="H21"/>
  <c r="I21"/>
  <c r="J21"/>
  <c r="J15" s="1"/>
  <c r="K21"/>
  <c r="K15" s="1"/>
  <c r="C22"/>
  <c r="B22"/>
  <c r="D22"/>
  <c r="E22"/>
  <c r="E15"/>
  <c r="F22"/>
  <c r="G22"/>
  <c r="H22"/>
  <c r="I22"/>
  <c r="J22"/>
  <c r="K22"/>
  <c r="B23"/>
  <c r="C25"/>
  <c r="D25"/>
  <c r="B26"/>
  <c r="B27"/>
  <c r="B25" s="1"/>
  <c r="B28"/>
  <c r="B29"/>
  <c r="B30"/>
  <c r="E30"/>
  <c r="F30"/>
  <c r="G30"/>
  <c r="H30"/>
  <c r="H25" s="1"/>
  <c r="I30"/>
  <c r="J30"/>
  <c r="K30"/>
  <c r="L30"/>
  <c r="B31"/>
  <c r="E31"/>
  <c r="F31"/>
  <c r="F25"/>
  <c r="G31"/>
  <c r="G25" s="1"/>
  <c r="H31"/>
  <c r="I31"/>
  <c r="J31"/>
  <c r="J25" s="1"/>
  <c r="K31"/>
  <c r="L31"/>
  <c r="B32"/>
  <c r="E32"/>
  <c r="E25" s="1"/>
  <c r="F32"/>
  <c r="G32"/>
  <c r="H32"/>
  <c r="I32"/>
  <c r="I25" s="1"/>
  <c r="J32"/>
  <c r="K32"/>
  <c r="K25"/>
  <c r="L32"/>
  <c r="L25" s="1"/>
  <c r="B33"/>
  <c r="E39"/>
  <c r="G39"/>
  <c r="H39"/>
  <c r="I39"/>
  <c r="J39"/>
  <c r="K39"/>
  <c r="L39"/>
  <c r="F41"/>
  <c r="F42"/>
  <c r="F43"/>
  <c r="C43"/>
  <c r="F44"/>
  <c r="C44" s="1"/>
  <c r="C39" s="1"/>
  <c r="F45"/>
  <c r="C45"/>
  <c r="F46"/>
  <c r="C46" s="1"/>
  <c r="F47"/>
  <c r="C47"/>
  <c r="C11" i="8"/>
  <c r="C13"/>
  <c r="F13"/>
  <c r="C15"/>
  <c r="C19"/>
  <c r="C21"/>
  <c r="H21"/>
  <c r="C23"/>
  <c r="F23" s="1"/>
  <c r="C25"/>
  <c r="C27"/>
  <c r="H27"/>
  <c r="C29"/>
  <c r="F29" s="1"/>
  <c r="C31"/>
  <c r="F31"/>
  <c r="C33"/>
  <c r="F33" s="1"/>
  <c r="C35"/>
  <c r="F35" s="1"/>
  <c r="H35"/>
  <c r="C37"/>
  <c r="F37" s="1"/>
  <c r="C39"/>
  <c r="F39" s="1"/>
  <c r="C41"/>
  <c r="H41" s="1"/>
  <c r="C43"/>
  <c r="O9" i="19"/>
  <c r="P9"/>
  <c r="T33"/>
  <c r="V33" s="1"/>
  <c r="T38"/>
  <c r="V38"/>
  <c r="R14"/>
  <c r="T14" s="1"/>
  <c r="R16"/>
  <c r="T16"/>
  <c r="T41"/>
  <c r="V41" s="1"/>
  <c r="T42"/>
  <c r="V42"/>
  <c r="R18"/>
  <c r="T18" s="1"/>
  <c r="R20"/>
  <c r="O32"/>
  <c r="O33"/>
  <c r="O34"/>
  <c r="O36"/>
  <c r="O37"/>
  <c r="O38"/>
  <c r="O39"/>
  <c r="O40"/>
  <c r="O41"/>
  <c r="O42"/>
  <c r="O43"/>
  <c r="O44"/>
  <c r="O45"/>
  <c r="O46"/>
  <c r="I9" i="7"/>
  <c r="R9"/>
  <c r="I10"/>
  <c r="T33" s="1"/>
  <c r="V33" s="1"/>
  <c r="I11"/>
  <c r="R11" s="1"/>
  <c r="T11" s="1"/>
  <c r="T34"/>
  <c r="V34" s="1"/>
  <c r="I12"/>
  <c r="R12" s="1"/>
  <c r="T12" s="1"/>
  <c r="O12"/>
  <c r="P12"/>
  <c r="I13"/>
  <c r="O13" s="1"/>
  <c r="P13" s="1"/>
  <c r="I14"/>
  <c r="R14" s="1"/>
  <c r="T14" s="1"/>
  <c r="I15"/>
  <c r="R15" s="1"/>
  <c r="T15" s="1"/>
  <c r="T39"/>
  <c r="V39" s="1"/>
  <c r="I16"/>
  <c r="R16" s="1"/>
  <c r="T16" s="1"/>
  <c r="O16"/>
  <c r="P16"/>
  <c r="I17"/>
  <c r="O17" s="1"/>
  <c r="P17" s="1"/>
  <c r="I18"/>
  <c r="T42" s="1"/>
  <c r="V42" s="1"/>
  <c r="I19"/>
  <c r="R19" s="1"/>
  <c r="T19" s="1"/>
  <c r="T43"/>
  <c r="V43" s="1"/>
  <c r="I20"/>
  <c r="R20"/>
  <c r="I21"/>
  <c r="I22"/>
  <c r="R22" s="1"/>
  <c r="T22" s="1"/>
  <c r="I23"/>
  <c r="R23" s="1"/>
  <c r="T23" s="1"/>
  <c r="E32"/>
  <c r="I32"/>
  <c r="E33"/>
  <c r="I33"/>
  <c r="E34"/>
  <c r="I34"/>
  <c r="E35"/>
  <c r="I35"/>
  <c r="E36"/>
  <c r="I36"/>
  <c r="E37"/>
  <c r="I37"/>
  <c r="E38"/>
  <c r="I38"/>
  <c r="E39"/>
  <c r="I39"/>
  <c r="E40"/>
  <c r="I40"/>
  <c r="E41"/>
  <c r="I41"/>
  <c r="E42"/>
  <c r="I42"/>
  <c r="E43"/>
  <c r="I43"/>
  <c r="E44"/>
  <c r="I44"/>
  <c r="E45"/>
  <c r="I45"/>
  <c r="E46"/>
  <c r="I46"/>
  <c r="D7" i="6"/>
  <c r="D11"/>
  <c r="D15"/>
  <c r="D18"/>
  <c r="D25"/>
  <c r="D26"/>
  <c r="D29"/>
  <c r="K6"/>
  <c r="K9"/>
  <c r="K13"/>
  <c r="K17"/>
  <c r="E4"/>
  <c r="M8" s="1"/>
  <c r="G6"/>
  <c r="G16" s="1"/>
  <c r="G7"/>
  <c r="G8"/>
  <c r="G9"/>
  <c r="G10"/>
  <c r="G11"/>
  <c r="G12"/>
  <c r="G13"/>
  <c r="G14"/>
  <c r="G15"/>
  <c r="G18"/>
  <c r="G20"/>
  <c r="N20" s="1"/>
  <c r="G21"/>
  <c r="G22"/>
  <c r="G24"/>
  <c r="G25"/>
  <c r="G26"/>
  <c r="G27"/>
  <c r="G28"/>
  <c r="G29"/>
  <c r="G30"/>
  <c r="G31"/>
  <c r="G19"/>
  <c r="G23"/>
  <c r="N5"/>
  <c r="N6"/>
  <c r="N7"/>
  <c r="N8"/>
  <c r="N9"/>
  <c r="N11"/>
  <c r="N12"/>
  <c r="N13"/>
  <c r="N15"/>
  <c r="N16"/>
  <c r="N17"/>
  <c r="N18"/>
  <c r="N19"/>
  <c r="N4"/>
  <c r="N14"/>
  <c r="N10"/>
  <c r="C16"/>
  <c r="E16"/>
  <c r="J20"/>
  <c r="L20"/>
  <c r="E49"/>
  <c r="G38" s="1"/>
  <c r="N38"/>
  <c r="N39"/>
  <c r="N41"/>
  <c r="N42"/>
  <c r="N43"/>
  <c r="N45"/>
  <c r="N46"/>
  <c r="N47"/>
  <c r="H25" i="5"/>
  <c r="C25"/>
  <c r="H26"/>
  <c r="C26" s="1"/>
  <c r="H27"/>
  <c r="C27"/>
  <c r="H28"/>
  <c r="H29"/>
  <c r="C29" s="1"/>
  <c r="H30"/>
  <c r="C30" s="1"/>
  <c r="H31"/>
  <c r="C31" s="1"/>
  <c r="H32"/>
  <c r="C32"/>
  <c r="H33"/>
  <c r="C33" s="1"/>
  <c r="H34"/>
  <c r="H35"/>
  <c r="C35"/>
  <c r="H36"/>
  <c r="H38"/>
  <c r="C38"/>
  <c r="H43"/>
  <c r="H44"/>
  <c r="H45"/>
  <c r="C45"/>
  <c r="H46"/>
  <c r="H47"/>
  <c r="C47" s="1"/>
  <c r="H48"/>
  <c r="C48" s="1"/>
  <c r="H49"/>
  <c r="C49"/>
  <c r="H50"/>
  <c r="C50" s="1"/>
  <c r="H51"/>
  <c r="H52"/>
  <c r="C52"/>
  <c r="H53"/>
  <c r="C53" s="1"/>
  <c r="H54"/>
  <c r="C54" s="1"/>
  <c r="B6" i="4"/>
  <c r="H6" s="1"/>
  <c r="D6"/>
  <c r="F8"/>
  <c r="G8"/>
  <c r="I8"/>
  <c r="F9"/>
  <c r="G9"/>
  <c r="I9"/>
  <c r="F10"/>
  <c r="G10" s="1"/>
  <c r="I10"/>
  <c r="F11"/>
  <c r="G11" s="1"/>
  <c r="I11"/>
  <c r="F12"/>
  <c r="G12" s="1"/>
  <c r="I12"/>
  <c r="F13"/>
  <c r="G13"/>
  <c r="I13"/>
  <c r="F14"/>
  <c r="G14" s="1"/>
  <c r="I14"/>
  <c r="F15"/>
  <c r="G15" s="1"/>
  <c r="I15"/>
  <c r="F16"/>
  <c r="G16" s="1"/>
  <c r="I16"/>
  <c r="F18"/>
  <c r="G18"/>
  <c r="I18"/>
  <c r="F19"/>
  <c r="G19" s="1"/>
  <c r="I19"/>
  <c r="F20"/>
  <c r="G20" s="1"/>
  <c r="I20"/>
  <c r="F21"/>
  <c r="G21" s="1"/>
  <c r="I21"/>
  <c r="F22"/>
  <c r="G22"/>
  <c r="I22"/>
  <c r="F23"/>
  <c r="G23" s="1"/>
  <c r="I23"/>
  <c r="F24"/>
  <c r="G24" s="1"/>
  <c r="I24"/>
  <c r="F25"/>
  <c r="G25" s="1"/>
  <c r="I25"/>
  <c r="F27"/>
  <c r="G27"/>
  <c r="I27"/>
  <c r="F28"/>
  <c r="G28" s="1"/>
  <c r="I28"/>
  <c r="C7" i="3"/>
  <c r="C6" s="1"/>
  <c r="C14"/>
  <c r="C21"/>
  <c r="C27"/>
  <c r="C32"/>
  <c r="C38"/>
  <c r="F8"/>
  <c r="I8"/>
  <c r="F9"/>
  <c r="I9" s="1"/>
  <c r="F10"/>
  <c r="I10"/>
  <c r="F11"/>
  <c r="I11" s="1"/>
  <c r="F12"/>
  <c r="I12"/>
  <c r="F15"/>
  <c r="I15" s="1"/>
  <c r="F16"/>
  <c r="F17"/>
  <c r="I17"/>
  <c r="F18"/>
  <c r="I18" s="1"/>
  <c r="F19"/>
  <c r="I19"/>
  <c r="F20"/>
  <c r="I20" s="1"/>
  <c r="F22"/>
  <c r="F23"/>
  <c r="I23" s="1"/>
  <c r="F24"/>
  <c r="I24"/>
  <c r="F25"/>
  <c r="F26"/>
  <c r="I26" s="1"/>
  <c r="I25"/>
  <c r="F28"/>
  <c r="I28" s="1"/>
  <c r="F29"/>
  <c r="F27"/>
  <c r="I27" s="1"/>
  <c r="F30"/>
  <c r="I30" s="1"/>
  <c r="F31"/>
  <c r="I31"/>
  <c r="F33"/>
  <c r="F34"/>
  <c r="I34" s="1"/>
  <c r="F35"/>
  <c r="I35"/>
  <c r="F36"/>
  <c r="I36" s="1"/>
  <c r="F37"/>
  <c r="I37" s="1"/>
  <c r="F39"/>
  <c r="I39" s="1"/>
  <c r="F40"/>
  <c r="I40"/>
  <c r="F41"/>
  <c r="I41" s="1"/>
  <c r="F42"/>
  <c r="F43"/>
  <c r="I43" s="1"/>
  <c r="F44"/>
  <c r="I44" s="1"/>
  <c r="F45"/>
  <c r="I45" s="1"/>
  <c r="I42"/>
  <c r="F47"/>
  <c r="F48"/>
  <c r="F49"/>
  <c r="I49"/>
  <c r="F50"/>
  <c r="I50" s="1"/>
  <c r="F51"/>
  <c r="I51"/>
  <c r="F52"/>
  <c r="I52" s="1"/>
  <c r="F53"/>
  <c r="I53"/>
  <c r="F54"/>
  <c r="I54" s="1"/>
  <c r="J7" i="18"/>
  <c r="N7"/>
  <c r="N12" s="1"/>
  <c r="J8"/>
  <c r="J12" s="1"/>
  <c r="N8"/>
  <c r="J9"/>
  <c r="N9"/>
  <c r="J10"/>
  <c r="N10"/>
  <c r="J11"/>
  <c r="N11"/>
  <c r="J14"/>
  <c r="N14"/>
  <c r="J15"/>
  <c r="J19" s="1"/>
  <c r="N15"/>
  <c r="J16"/>
  <c r="N16"/>
  <c r="N19" s="1"/>
  <c r="J17"/>
  <c r="N17"/>
  <c r="J18"/>
  <c r="N18"/>
  <c r="J21"/>
  <c r="N21"/>
  <c r="J22"/>
  <c r="N22"/>
  <c r="J23"/>
  <c r="N23"/>
  <c r="J24"/>
  <c r="N24"/>
  <c r="J25"/>
  <c r="N25"/>
  <c r="J28"/>
  <c r="N28"/>
  <c r="J29"/>
  <c r="J33" s="1"/>
  <c r="J30"/>
  <c r="J31"/>
  <c r="J32"/>
  <c r="N32"/>
  <c r="N34"/>
  <c r="J35"/>
  <c r="N35"/>
  <c r="J36"/>
  <c r="N36"/>
  <c r="J37"/>
  <c r="J40" s="1"/>
  <c r="J38"/>
  <c r="J39"/>
  <c r="J42"/>
  <c r="J43"/>
  <c r="J44"/>
  <c r="J45"/>
  <c r="J46"/>
  <c r="C40" i="2"/>
  <c r="C47"/>
  <c r="G12"/>
  <c r="G19"/>
  <c r="G26"/>
  <c r="G33"/>
  <c r="G40"/>
  <c r="G47"/>
  <c r="D12"/>
  <c r="D19"/>
  <c r="D26"/>
  <c r="D33"/>
  <c r="D40"/>
  <c r="D47"/>
  <c r="H12"/>
  <c r="H19"/>
  <c r="H26"/>
  <c r="H33"/>
  <c r="H40"/>
  <c r="H47"/>
  <c r="B7"/>
  <c r="F7"/>
  <c r="F12" s="1"/>
  <c r="B8"/>
  <c r="F8"/>
  <c r="B9"/>
  <c r="F9"/>
  <c r="B10"/>
  <c r="F10"/>
  <c r="B11"/>
  <c r="F11"/>
  <c r="B14"/>
  <c r="F14"/>
  <c r="B15"/>
  <c r="F15"/>
  <c r="B16"/>
  <c r="F16"/>
  <c r="B17"/>
  <c r="F17"/>
  <c r="B18"/>
  <c r="F18"/>
  <c r="B21"/>
  <c r="B26"/>
  <c r="F21"/>
  <c r="B22"/>
  <c r="F22"/>
  <c r="B23"/>
  <c r="F23"/>
  <c r="B24"/>
  <c r="F24"/>
  <c r="F26" s="1"/>
  <c r="B25"/>
  <c r="F25"/>
  <c r="B28"/>
  <c r="F28"/>
  <c r="F33" s="1"/>
  <c r="B29"/>
  <c r="F29"/>
  <c r="B30"/>
  <c r="F30"/>
  <c r="B31"/>
  <c r="F31"/>
  <c r="B32"/>
  <c r="F32"/>
  <c r="B35"/>
  <c r="F35"/>
  <c r="B36"/>
  <c r="F36"/>
  <c r="B37"/>
  <c r="F37"/>
  <c r="B38"/>
  <c r="F38"/>
  <c r="B39"/>
  <c r="F39"/>
  <c r="B42"/>
  <c r="F42"/>
  <c r="B43"/>
  <c r="F43"/>
  <c r="B44"/>
  <c r="F44"/>
  <c r="B45"/>
  <c r="F45"/>
  <c r="B46"/>
  <c r="F46"/>
  <c r="C6" i="14"/>
  <c r="F7"/>
  <c r="F8"/>
  <c r="G8"/>
  <c r="I8" s="1"/>
  <c r="F9"/>
  <c r="G9"/>
  <c r="I9" s="1"/>
  <c r="F10"/>
  <c r="G10"/>
  <c r="I10"/>
  <c r="F11"/>
  <c r="F12"/>
  <c r="F15"/>
  <c r="C21"/>
  <c r="I21" s="1"/>
  <c r="C22"/>
  <c r="F22" s="1"/>
  <c r="F23"/>
  <c r="G23"/>
  <c r="I23" s="1"/>
  <c r="F24"/>
  <c r="G24"/>
  <c r="I24" s="1"/>
  <c r="F25"/>
  <c r="G25"/>
  <c r="I25"/>
  <c r="F26"/>
  <c r="G26"/>
  <c r="I26" s="1"/>
  <c r="F27"/>
  <c r="G27"/>
  <c r="I27" s="1"/>
  <c r="B37"/>
  <c r="E37"/>
  <c r="H37"/>
  <c r="H42"/>
  <c r="E43"/>
  <c r="H43"/>
  <c r="E44"/>
  <c r="H44"/>
  <c r="H46"/>
  <c r="G40" i="6"/>
  <c r="G46"/>
  <c r="G48"/>
  <c r="T36" i="19"/>
  <c r="V36"/>
  <c r="O12"/>
  <c r="P12" s="1"/>
  <c r="F27" i="8"/>
  <c r="O16" i="19"/>
  <c r="P16" s="1"/>
  <c r="R11"/>
  <c r="T11"/>
  <c r="F15" i="9"/>
  <c r="O22" i="19"/>
  <c r="P22" s="1"/>
  <c r="G22" i="14"/>
  <c r="I22" s="1"/>
  <c r="G41" i="6"/>
  <c r="R12" i="19"/>
  <c r="T12"/>
  <c r="H29" i="8"/>
  <c r="T45" i="19"/>
  <c r="V45" s="1"/>
  <c r="G12" i="14"/>
  <c r="I12" s="1"/>
  <c r="I47" i="3"/>
  <c r="F26" i="6"/>
  <c r="R15" i="19"/>
  <c r="T15" s="1"/>
  <c r="C28" i="5"/>
  <c r="T46" i="19"/>
  <c r="V46" s="1"/>
  <c r="D19" i="6"/>
  <c r="K19"/>
  <c r="K11"/>
  <c r="D31"/>
  <c r="D27"/>
  <c r="D23"/>
  <c r="D9"/>
  <c r="K16"/>
  <c r="K12"/>
  <c r="K4"/>
  <c r="D28"/>
  <c r="D24"/>
  <c r="D14"/>
  <c r="D10"/>
  <c r="F21" i="14"/>
  <c r="F23" i="6"/>
  <c r="O17" i="19"/>
  <c r="P17" s="1"/>
  <c r="I6" i="4"/>
  <c r="F6"/>
  <c r="G6"/>
  <c r="I29" i="3"/>
  <c r="G43" i="6"/>
  <c r="G39"/>
  <c r="G44"/>
  <c r="G47"/>
  <c r="G42"/>
  <c r="T44" i="19"/>
  <c r="V44"/>
  <c r="R21"/>
  <c r="T21" s="1"/>
  <c r="O21"/>
  <c r="P21" s="1"/>
  <c r="T40"/>
  <c r="V40" s="1"/>
  <c r="K10" i="6"/>
  <c r="D30"/>
  <c r="D22"/>
  <c r="H31" i="8"/>
  <c r="F21"/>
  <c r="G13" i="14"/>
  <c r="I13" s="1"/>
  <c r="O10" i="19"/>
  <c r="P10" s="1"/>
  <c r="T39"/>
  <c r="V39" s="1"/>
  <c r="T34"/>
  <c r="V34"/>
  <c r="T43"/>
  <c r="V43" s="1"/>
  <c r="M11" i="20"/>
  <c r="K11" s="1"/>
  <c r="G31" i="10"/>
  <c r="V31"/>
  <c r="Q31"/>
  <c r="W31"/>
  <c r="L31"/>
  <c r="J31"/>
  <c r="S31"/>
  <c r="X31"/>
  <c r="T31"/>
  <c r="O31"/>
  <c r="U31"/>
  <c r="F31"/>
  <c r="J24" i="3"/>
  <c r="J47"/>
  <c r="J34"/>
  <c r="J38"/>
  <c r="J36"/>
  <c r="J22"/>
  <c r="J33"/>
  <c r="J26"/>
  <c r="J13"/>
  <c r="J12"/>
  <c r="J53"/>
  <c r="J44"/>
  <c r="J43"/>
  <c r="J21"/>
  <c r="J40"/>
  <c r="J10"/>
  <c r="J37"/>
  <c r="J32"/>
  <c r="M4" i="6"/>
  <c r="F8"/>
  <c r="F30"/>
  <c r="F31"/>
  <c r="M7"/>
  <c r="F25"/>
  <c r="M13"/>
  <c r="M5"/>
  <c r="F18"/>
  <c r="F12"/>
  <c r="M10"/>
  <c r="F13"/>
  <c r="M6"/>
  <c r="F7"/>
  <c r="F6"/>
  <c r="T44" i="7"/>
  <c r="V44" s="1"/>
  <c r="R21"/>
  <c r="T21" s="1"/>
  <c r="H39" i="8"/>
  <c r="F14" i="3"/>
  <c r="I14" s="1"/>
  <c r="I16"/>
  <c r="G4" i="6"/>
  <c r="H15" i="8"/>
  <c r="F15"/>
  <c r="C42" i="9"/>
  <c r="F39"/>
  <c r="G30" i="14"/>
  <c r="I30" s="1"/>
  <c r="F43" i="8"/>
  <c r="H43"/>
  <c r="H25"/>
  <c r="F25"/>
  <c r="F11"/>
  <c r="H13"/>
  <c r="O13" i="19"/>
  <c r="P13" s="1"/>
  <c r="T37"/>
  <c r="V37" s="1"/>
  <c r="R13"/>
  <c r="T13" s="1"/>
  <c r="R23"/>
  <c r="T23" s="1"/>
  <c r="O23"/>
  <c r="P23" s="1"/>
  <c r="F27" i="6"/>
  <c r="M9"/>
  <c r="F19"/>
  <c r="D28" i="17"/>
  <c r="I27" s="1"/>
  <c r="F29" i="6"/>
  <c r="M19"/>
  <c r="M16"/>
  <c r="B33" i="2"/>
  <c r="B15" i="9"/>
  <c r="M6" i="20"/>
  <c r="K6" s="1"/>
  <c r="T37" i="7"/>
  <c r="V37"/>
  <c r="G14" i="14"/>
  <c r="I14"/>
  <c r="F13"/>
  <c r="F7" i="3"/>
  <c r="I7" s="1"/>
  <c r="H6"/>
  <c r="F6" s="1"/>
  <c r="I6" s="1"/>
  <c r="O19" i="19"/>
  <c r="P19"/>
  <c r="R19"/>
  <c r="T19" s="1"/>
  <c r="D36" i="10"/>
  <c r="I31"/>
  <c r="D28"/>
  <c r="D6" i="3"/>
  <c r="K85" i="20"/>
  <c r="I85"/>
  <c r="O9" i="7"/>
  <c r="P9" s="1"/>
  <c r="R17"/>
  <c r="T17" s="1"/>
  <c r="T35" i="17"/>
  <c r="D24"/>
  <c r="T32" i="19"/>
  <c r="V32"/>
  <c r="R9"/>
  <c r="B5" i="9"/>
  <c r="M10" i="20"/>
  <c r="K10" s="1"/>
  <c r="J33" i="2"/>
  <c r="C5" i="18"/>
  <c r="O21" i="7"/>
  <c r="P21" s="1"/>
  <c r="T32"/>
  <c r="V32" s="1"/>
  <c r="T41"/>
  <c r="V41"/>
  <c r="N31" i="10"/>
  <c r="R31"/>
  <c r="I22" i="3"/>
  <c r="H37" i="8"/>
  <c r="H33"/>
  <c r="H23"/>
  <c r="T36" i="7"/>
  <c r="V36"/>
  <c r="T40"/>
  <c r="V40" s="1"/>
  <c r="O11"/>
  <c r="P11" s="1"/>
  <c r="O15"/>
  <c r="P15" s="1"/>
  <c r="O19"/>
  <c r="P19" s="1"/>
  <c r="X31" i="17"/>
  <c r="V31"/>
  <c r="H31"/>
  <c r="T31"/>
  <c r="K31"/>
  <c r="K32" i="14"/>
  <c r="U27" i="10"/>
  <c r="N27"/>
  <c r="H27"/>
  <c r="F27"/>
  <c r="K27"/>
  <c r="Q27"/>
  <c r="S27" i="17"/>
  <c r="J27"/>
  <c r="Q27"/>
  <c r="X35"/>
  <c r="P35" i="10"/>
  <c r="O23" i="17"/>
  <c r="H23"/>
  <c r="N23"/>
  <c r="G23"/>
  <c r="S23"/>
  <c r="F23"/>
  <c r="V23"/>
  <c r="L23"/>
  <c r="I35"/>
  <c r="K35"/>
  <c r="W35"/>
  <c r="H35"/>
  <c r="U35"/>
  <c r="S35"/>
  <c r="X35" i="10"/>
  <c r="K35"/>
  <c r="S35"/>
  <c r="N35"/>
  <c r="W35"/>
  <c r="I35"/>
  <c r="V35"/>
  <c r="O35"/>
  <c r="J35"/>
  <c r="I23" i="17"/>
  <c r="T27" i="10" l="1"/>
  <c r="V27"/>
  <c r="I27"/>
  <c r="S27"/>
  <c r="F6" i="14"/>
  <c r="I6"/>
  <c r="I48" i="3"/>
  <c r="F46"/>
  <c r="I46" s="1"/>
  <c r="I33"/>
  <c r="F32"/>
  <c r="I32" s="1"/>
  <c r="P23" i="17"/>
  <c r="R23"/>
  <c r="J23"/>
  <c r="Q35" i="10"/>
  <c r="U35"/>
  <c r="M35"/>
  <c r="F35"/>
  <c r="N27" i="17"/>
  <c r="O27"/>
  <c r="B19" i="2"/>
  <c r="N26" i="18"/>
  <c r="J35" i="17"/>
  <c r="Q35"/>
  <c r="N35"/>
  <c r="P27"/>
  <c r="X27"/>
  <c r="H27"/>
  <c r="O27" i="10"/>
  <c r="L27"/>
  <c r="R27"/>
  <c r="O31" i="17"/>
  <c r="R31"/>
  <c r="U31"/>
  <c r="F47" i="2"/>
  <c r="F40"/>
  <c r="F19"/>
  <c r="J27" i="10"/>
  <c r="H35"/>
  <c r="R35"/>
  <c r="G35"/>
  <c r="T35"/>
  <c r="V35" i="17"/>
  <c r="F35"/>
  <c r="T23"/>
  <c r="X23"/>
  <c r="K23"/>
  <c r="Q23"/>
  <c r="T27"/>
  <c r="U27"/>
  <c r="X27" i="10"/>
  <c r="P27"/>
  <c r="W27"/>
  <c r="S31" i="17"/>
  <c r="F31"/>
  <c r="B5" i="18"/>
  <c r="U23" i="17"/>
  <c r="L35" i="10"/>
  <c r="J17" i="3"/>
  <c r="J6"/>
  <c r="J14"/>
  <c r="J30"/>
  <c r="J54"/>
  <c r="G7" i="14"/>
  <c r="I7" s="1"/>
  <c r="B47" i="2"/>
  <c r="B40"/>
  <c r="B12"/>
  <c r="D5"/>
  <c r="J47" i="18"/>
  <c r="F21" i="3"/>
  <c r="I21" s="1"/>
  <c r="G27" i="10"/>
  <c r="D27" s="1"/>
  <c r="M9" i="20"/>
  <c r="K9" s="1"/>
  <c r="I87"/>
  <c r="M35" i="17"/>
  <c r="O35"/>
  <c r="G35"/>
  <c r="L35"/>
  <c r="J31"/>
  <c r="L31"/>
  <c r="G31"/>
  <c r="W31"/>
  <c r="I31"/>
  <c r="P31"/>
  <c r="R27"/>
  <c r="F27"/>
  <c r="K27"/>
  <c r="W27"/>
  <c r="L27"/>
  <c r="G27"/>
  <c r="J52" i="3"/>
  <c r="J16"/>
  <c r="J9"/>
  <c r="J23"/>
  <c r="J29"/>
  <c r="J31"/>
  <c r="J18"/>
  <c r="J51"/>
  <c r="J42"/>
  <c r="J25"/>
  <c r="J27"/>
  <c r="J28"/>
  <c r="J35"/>
  <c r="J39"/>
  <c r="J19"/>
  <c r="J46"/>
  <c r="J8"/>
  <c r="J20"/>
  <c r="J48"/>
  <c r="J11"/>
  <c r="J7"/>
  <c r="J50"/>
  <c r="J49"/>
  <c r="J45"/>
  <c r="J41"/>
  <c r="J26" i="18"/>
  <c r="V27" i="17"/>
  <c r="F38" i="3"/>
  <c r="I38" s="1"/>
  <c r="M8" i="20"/>
  <c r="K8" s="1"/>
  <c r="M14"/>
  <c r="K14" s="1"/>
  <c r="C5" i="2"/>
  <c r="B5" s="1"/>
  <c r="C15" i="9"/>
  <c r="D24" i="10"/>
  <c r="H23" s="1"/>
  <c r="R10" i="7"/>
  <c r="T10" s="1"/>
  <c r="R18"/>
  <c r="T18" s="1"/>
  <c r="O22"/>
  <c r="P22" s="1"/>
  <c r="T38"/>
  <c r="V38" s="1"/>
  <c r="T45"/>
  <c r="V45" s="1"/>
  <c r="M18" i="6"/>
  <c r="F15"/>
  <c r="M11"/>
  <c r="F11"/>
  <c r="F28"/>
  <c r="O18" i="7"/>
  <c r="P18" s="1"/>
  <c r="O14"/>
  <c r="P14" s="1"/>
  <c r="O10"/>
  <c r="P10" s="1"/>
  <c r="F41" i="8"/>
  <c r="D6" i="6"/>
  <c r="N37"/>
  <c r="O23" i="7"/>
  <c r="P23" s="1"/>
  <c r="T46"/>
  <c r="V46" s="1"/>
  <c r="M12" i="6"/>
  <c r="F24"/>
  <c r="M15"/>
  <c r="F22"/>
  <c r="F9"/>
  <c r="Q31" i="17"/>
  <c r="R13" i="7"/>
  <c r="T13" s="1"/>
  <c r="D15" i="9"/>
  <c r="F10" i="6"/>
  <c r="F21"/>
  <c r="F20"/>
  <c r="F14"/>
  <c r="M14"/>
  <c r="M17"/>
  <c r="K31" i="10"/>
  <c r="H31"/>
  <c r="D31" s="1"/>
  <c r="D12" i="6"/>
  <c r="K18"/>
  <c r="G37"/>
  <c r="G45"/>
  <c r="D20"/>
  <c r="K20" s="1"/>
  <c r="K8"/>
  <c r="D13"/>
  <c r="K7"/>
  <c r="K15"/>
  <c r="N48"/>
  <c r="N44"/>
  <c r="K14"/>
  <c r="K5"/>
  <c r="D21"/>
  <c r="P43" i="18" l="1"/>
  <c r="P44"/>
  <c r="O44"/>
  <c r="O45"/>
  <c r="N43"/>
  <c r="P45"/>
  <c r="O43"/>
  <c r="N45"/>
  <c r="D16" i="6"/>
  <c r="D4"/>
  <c r="D35" i="17"/>
  <c r="F4" i="6"/>
  <c r="D27" i="17"/>
  <c r="N43" i="2"/>
  <c r="N45"/>
  <c r="P44"/>
  <c r="O43"/>
  <c r="O45"/>
  <c r="N44"/>
  <c r="O44"/>
  <c r="P45"/>
  <c r="P43"/>
  <c r="V23" i="10"/>
  <c r="G23"/>
  <c r="U23"/>
  <c r="W23"/>
  <c r="R23"/>
  <c r="O23"/>
  <c r="S23"/>
  <c r="F23"/>
  <c r="D23" s="1"/>
  <c r="T23"/>
  <c r="P23"/>
  <c r="X23"/>
  <c r="J23"/>
  <c r="L23"/>
  <c r="K23"/>
  <c r="Q23"/>
  <c r="N23"/>
  <c r="N49" i="6"/>
  <c r="N44" i="18"/>
  <c r="D35" i="10"/>
  <c r="D23" i="17"/>
  <c r="G49" i="6"/>
  <c r="M20"/>
  <c r="I23" i="10"/>
  <c r="F16" i="6"/>
  <c r="D31" i="17"/>
</calcChain>
</file>

<file path=xl/comments1.xml><?xml version="1.0" encoding="utf-8"?>
<comments xmlns="http://schemas.openxmlformats.org/spreadsheetml/2006/main">
  <authors>
    <author>情報政策課</author>
  </authors>
  <commentList>
    <comment ref="B11" authorId="0">
      <text>
        <r>
          <rPr>
            <b/>
            <sz val="9"/>
            <color indexed="81"/>
            <rFont val="ＭＳ Ｐゴシック"/>
            <family val="3"/>
            <charset val="128"/>
          </rPr>
          <t>H23.12.22　宇治川改修池（188.39㎡）の増分をH23年版で載せるべきだが、単位に満たないため、数値はそのまま。</t>
        </r>
      </text>
    </comment>
  </commentList>
</comments>
</file>

<file path=xl/sharedStrings.xml><?xml version="1.0" encoding="utf-8"?>
<sst xmlns="http://schemas.openxmlformats.org/spreadsheetml/2006/main" count="1548" uniqueCount="706">
  <si>
    <t>（６）</t>
    <phoneticPr fontId="20"/>
  </si>
  <si>
    <t>（7）</t>
    <phoneticPr fontId="20"/>
  </si>
  <si>
    <t>　　（6）  住民登録人口の推移　（P39参照）</t>
    <rPh sb="21" eb="23">
      <t>サンショウ</t>
    </rPh>
    <phoneticPr fontId="20"/>
  </si>
  <si>
    <t>　　　　（7）  国籍別外国人登録数　（P44参照）</t>
    <rPh sb="9" eb="11">
      <t>コクセキ</t>
    </rPh>
    <rPh sb="11" eb="12">
      <t>ベツ</t>
    </rPh>
    <rPh sb="12" eb="14">
      <t>ガイコク</t>
    </rPh>
    <rPh sb="14" eb="15">
      <t>ジン</t>
    </rPh>
    <rPh sb="17" eb="18">
      <t>カズ</t>
    </rPh>
    <rPh sb="23" eb="25">
      <t>サンショウ</t>
    </rPh>
    <phoneticPr fontId="20"/>
  </si>
  <si>
    <t>（8）</t>
    <phoneticPr fontId="20"/>
  </si>
  <si>
    <t>Ａ</t>
    <phoneticPr fontId="20"/>
  </si>
  <si>
    <t>△Ｄ</t>
    <phoneticPr fontId="20"/>
  </si>
  <si>
    <t>Ｃ</t>
    <phoneticPr fontId="20"/>
  </si>
  <si>
    <t>Ｂ</t>
    <phoneticPr fontId="20"/>
  </si>
  <si>
    <t>22年</t>
    <rPh sb="2" eb="3">
      <t>ネン</t>
    </rPh>
    <phoneticPr fontId="20"/>
  </si>
  <si>
    <t>（11）</t>
    <phoneticPr fontId="20"/>
  </si>
  <si>
    <t>（10）</t>
    <phoneticPr fontId="20"/>
  </si>
  <si>
    <t>（9）</t>
    <phoneticPr fontId="20"/>
  </si>
  <si>
    <t>増加率</t>
    <rPh sb="0" eb="2">
      <t>ゾウカ</t>
    </rPh>
    <rPh sb="2" eb="3">
      <t>リツ</t>
    </rPh>
    <phoneticPr fontId="20"/>
  </si>
  <si>
    <t>（14）</t>
    <phoneticPr fontId="20"/>
  </si>
  <si>
    <t>100歳以上</t>
    <rPh sb="3" eb="6">
      <t>サイイジョウ</t>
    </rPh>
    <phoneticPr fontId="20"/>
  </si>
  <si>
    <t>（34） 　沖縄県、市部、郡部別、人口集中地区（Ｄ・Ｉ・Ｄｓ）の年齢（５歳階級）別人口</t>
    <phoneticPr fontId="20"/>
  </si>
  <si>
    <t>積に占める割合では63.2％となった。また、平成22年の人口集中地区人口は106,447人で、平成17年より10,380人（同10.8％）増加しており、市の総人口に占める割合では、96.5％となった。一方、人口集中地区の人口密度は 8,819.1人となり、平成17年の8,516.6人と比べ微増した。</t>
    <phoneticPr fontId="20"/>
  </si>
  <si>
    <t>（単位：世帯、人、％）</t>
  </si>
  <si>
    <t>年　　次</t>
  </si>
  <si>
    <t>世 帯 数</t>
  </si>
  <si>
    <t>対　前　年</t>
  </si>
  <si>
    <t>総　　数</t>
  </si>
  <si>
    <t>男</t>
  </si>
  <si>
    <t>女</t>
  </si>
  <si>
    <t>人口増減数</t>
  </si>
  <si>
    <t>人口増減率</t>
  </si>
  <si>
    <t>平成17年</t>
  </si>
  <si>
    <t>平成22年</t>
  </si>
  <si>
    <t>資料：企画課</t>
  </si>
  <si>
    <t xml:space="preserve">　　　　　　　　　　　　　　　　　　　　　　　　　　　　　　　　　　　　　　　　　　　　　　　　　  </t>
  </si>
  <si>
    <t>（単位：人）</t>
  </si>
  <si>
    <t>（15歳～64歳）</t>
  </si>
  <si>
    <t xml:space="preserve"> </t>
  </si>
  <si>
    <t>（単位：人、％、歳）</t>
  </si>
  <si>
    <t>年　  齢</t>
  </si>
  <si>
    <t>総　数</t>
  </si>
  <si>
    <t xml:space="preserve">  総　　数</t>
  </si>
  <si>
    <t>０</t>
  </si>
  <si>
    <t>１</t>
  </si>
  <si>
    <t>２</t>
  </si>
  <si>
    <t>３</t>
  </si>
  <si>
    <t>４</t>
  </si>
  <si>
    <t xml:space="preserve"> ０ ～ ４歳</t>
  </si>
  <si>
    <t xml:space="preserve"> 30 ～ 34歳</t>
  </si>
  <si>
    <t xml:space="preserve"> 60 ～ 64歳</t>
  </si>
  <si>
    <t xml:space="preserve"> 90 ～ 94歳</t>
  </si>
  <si>
    <t>５</t>
  </si>
  <si>
    <t>６</t>
  </si>
  <si>
    <t>７</t>
  </si>
  <si>
    <t>８</t>
  </si>
  <si>
    <t>９</t>
  </si>
  <si>
    <t xml:space="preserve"> ５ ～ ９歳</t>
  </si>
  <si>
    <t xml:space="preserve"> 35 ～ 39歳</t>
  </si>
  <si>
    <t xml:space="preserve"> 65 ～ 69歳</t>
  </si>
  <si>
    <t xml:space="preserve"> 95 ～ 99歳</t>
  </si>
  <si>
    <t xml:space="preserve"> 10 ～ 14歳</t>
  </si>
  <si>
    <t xml:space="preserve"> 40 ～ 44歳</t>
  </si>
  <si>
    <t xml:space="preserve"> 70 ～ 74歳</t>
  </si>
  <si>
    <t>100 ～ 104歳</t>
  </si>
  <si>
    <t xml:space="preserve">  105歳以上</t>
  </si>
  <si>
    <t xml:space="preserve">  （再掲）</t>
  </si>
  <si>
    <t xml:space="preserve">  20歳以上</t>
  </si>
  <si>
    <t xml:space="preserve"> 15 ～ 19歳</t>
  </si>
  <si>
    <t xml:space="preserve"> 45 ～ 49歳</t>
  </si>
  <si>
    <t xml:space="preserve"> 75 ～ 79歳</t>
  </si>
  <si>
    <t xml:space="preserve">  15～49歳</t>
  </si>
  <si>
    <t xml:space="preserve">  60歳以上</t>
  </si>
  <si>
    <t xml:space="preserve">  70歳以上</t>
  </si>
  <si>
    <t xml:space="preserve">  75歳以上</t>
  </si>
  <si>
    <t xml:space="preserve">  15歳未満</t>
  </si>
  <si>
    <t xml:space="preserve">  15～64歳</t>
  </si>
  <si>
    <t xml:space="preserve"> 20 ～ 24歳</t>
  </si>
  <si>
    <t xml:space="preserve"> 50 ～ 54歳</t>
  </si>
  <si>
    <t xml:space="preserve"> 80 ～ 84歳</t>
  </si>
  <si>
    <t xml:space="preserve">  65歳以上</t>
  </si>
  <si>
    <t>年齢別割合％</t>
  </si>
  <si>
    <t xml:space="preserve"> 25 ～ 29歳</t>
  </si>
  <si>
    <t xml:space="preserve"> 55 ～ 59歳</t>
  </si>
  <si>
    <t xml:space="preserve"> 85 ～ 89歳</t>
  </si>
  <si>
    <t xml:space="preserve">  平均年齢</t>
  </si>
  <si>
    <t xml:space="preserve">                                                                                                      </t>
  </si>
  <si>
    <t xml:space="preserve">資料：企画課 </t>
  </si>
  <si>
    <t xml:space="preserve">（19）  行政区別登録人口及び人口比重（各年共12月末日現在）  </t>
  </si>
  <si>
    <t>（単位：世帯、人、パーミル）</t>
  </si>
  <si>
    <t>行　政　区　分</t>
  </si>
  <si>
    <t>人口</t>
  </si>
  <si>
    <t>前年に対</t>
  </si>
  <si>
    <t>人口比重</t>
  </si>
  <si>
    <t>増 加 数</t>
  </si>
  <si>
    <t>総　　　　　数</t>
  </si>
  <si>
    <t>北　地　区</t>
  </si>
  <si>
    <t>総　　　数</t>
  </si>
  <si>
    <t>牧港</t>
  </si>
  <si>
    <t>牧港ハイツ</t>
  </si>
  <si>
    <t>上野</t>
  </si>
  <si>
    <t>マチナトタウン</t>
  </si>
  <si>
    <t>浦添市街地住宅</t>
  </si>
  <si>
    <t>港川</t>
  </si>
  <si>
    <t>港川崎原</t>
  </si>
  <si>
    <t>浦城</t>
  </si>
  <si>
    <t>伊祖</t>
  </si>
  <si>
    <t>浅野浦</t>
  </si>
  <si>
    <t>緑ヶ丘</t>
  </si>
  <si>
    <t>城間</t>
  </si>
  <si>
    <t>屋富祖</t>
  </si>
  <si>
    <t>宮城</t>
  </si>
  <si>
    <t>仲西</t>
  </si>
  <si>
    <t>大平</t>
  </si>
  <si>
    <t>西　地　区</t>
  </si>
  <si>
    <t>神森</t>
  </si>
  <si>
    <t>勢理客</t>
  </si>
  <si>
    <t>小湾</t>
  </si>
  <si>
    <t>内間</t>
  </si>
  <si>
    <t>仲間</t>
  </si>
  <si>
    <t>茶山</t>
  </si>
  <si>
    <t>安波茶</t>
  </si>
  <si>
    <t>浦添ﾆｭｰﾀｳﾝ</t>
  </si>
  <si>
    <t>浦添ハイツ</t>
  </si>
  <si>
    <t>前田</t>
  </si>
  <si>
    <t>浦添ｸﾞﾘｰﾝﾊｲﾂ</t>
  </si>
  <si>
    <t>前田公務員宿舎</t>
  </si>
  <si>
    <t>経塚</t>
  </si>
  <si>
    <t>沢岻</t>
  </si>
  <si>
    <t>県営沢岻高層住宅</t>
  </si>
  <si>
    <t>県営経塚団地</t>
  </si>
  <si>
    <t>西原一区</t>
  </si>
  <si>
    <t>西原二区</t>
  </si>
  <si>
    <t>浦西</t>
  </si>
  <si>
    <t>広栄</t>
  </si>
  <si>
    <t>陽迎橋</t>
  </si>
  <si>
    <t>当山</t>
  </si>
  <si>
    <t>当山ハイツ</t>
  </si>
  <si>
    <t>／</t>
  </si>
  <si>
    <t>ｷｬﾝﾌﾟｷﾝｻﾞｰ</t>
  </si>
  <si>
    <t>（注）人口比重は小数点第２位で四捨五入のため総数と異なる。</t>
  </si>
  <si>
    <t xml:space="preserve">      県営経塚団地、浦添市街地住宅は、平成19年4月1日認可。</t>
  </si>
  <si>
    <t xml:space="preserve">      県営沢岻高層住宅は、平成20年4月1日認可。陽迎橋は、平成21年4月1日認可。 </t>
  </si>
  <si>
    <t xml:space="preserve">(20）　字別人口増加率及び人口密度（各年共12月末日現在） </t>
  </si>
  <si>
    <t>字　　別</t>
  </si>
  <si>
    <t>面　　 積       　　（k㎡）</t>
  </si>
  <si>
    <t>人　　　　　口</t>
  </si>
  <si>
    <t>人　　口
増 加 数</t>
  </si>
  <si>
    <t>人　 　口
増加率(％)</t>
  </si>
  <si>
    <t>人口密度</t>
  </si>
  <si>
    <t>総      数</t>
  </si>
  <si>
    <t>仲　　　間</t>
  </si>
  <si>
    <t>安　波　茶</t>
  </si>
  <si>
    <t>伊　　　祖</t>
  </si>
  <si>
    <t>牧　　　港</t>
  </si>
  <si>
    <t>港　　　川</t>
  </si>
  <si>
    <t>城　　　間</t>
  </si>
  <si>
    <t>屋　富　祖</t>
  </si>
  <si>
    <t>宮　　　城</t>
  </si>
  <si>
    <t>仲　　　西</t>
  </si>
  <si>
    <t>小　　　湾</t>
  </si>
  <si>
    <t>-</t>
  </si>
  <si>
    <t>勢　理　客</t>
  </si>
  <si>
    <t>内　　　間</t>
  </si>
  <si>
    <t>沢　　　岻</t>
  </si>
  <si>
    <t>経　　　塚</t>
  </si>
  <si>
    <t>前　　　田</t>
  </si>
  <si>
    <t>西　　　原</t>
  </si>
  <si>
    <t>当　　　山</t>
  </si>
  <si>
    <t>大　　　平</t>
  </si>
  <si>
    <t>西　　　洲</t>
  </si>
  <si>
    <t>伊 奈 武 瀬</t>
  </si>
  <si>
    <t xml:space="preserve">（注）面積は、平成６年の面積に埋立面積等を加算した数値である。                  　　          　　 </t>
  </si>
  <si>
    <t xml:space="preserve">　　　伊奈武瀬、小湾、勢理客については、平成14年度住居表示実施による数値である。 </t>
  </si>
  <si>
    <t>（21）  国籍別外国人登録数（各年共12月末現在）</t>
  </si>
  <si>
    <t>国　　　名</t>
  </si>
  <si>
    <t>総数</t>
  </si>
  <si>
    <t>米国</t>
  </si>
  <si>
    <t>中国</t>
  </si>
  <si>
    <t>韓国・朝鮮</t>
  </si>
  <si>
    <t>フィリピン</t>
  </si>
  <si>
    <t>ベトナム</t>
  </si>
  <si>
    <t>タイ</t>
  </si>
  <si>
    <t>カナダ</t>
  </si>
  <si>
    <t>ブラジル</t>
  </si>
  <si>
    <t>アルゼンチン</t>
  </si>
  <si>
    <t>ペ　ル　ー</t>
  </si>
  <si>
    <t>ボリビア</t>
  </si>
  <si>
    <t>英　　　国</t>
  </si>
  <si>
    <t>そ　の　他</t>
  </si>
  <si>
    <t>資料：市民課</t>
  </si>
  <si>
    <t>（22）　人口動態の推移</t>
  </si>
  <si>
    <t>（単位：人、組）</t>
  </si>
  <si>
    <t>年　別</t>
  </si>
  <si>
    <t>人口増加</t>
  </si>
  <si>
    <t>自　　然　　動　　態</t>
  </si>
  <si>
    <t>社　　会　　動　　態</t>
  </si>
  <si>
    <t>自然増加</t>
  </si>
  <si>
    <t>出　生</t>
  </si>
  <si>
    <t>死　亡</t>
  </si>
  <si>
    <t>社会増加</t>
  </si>
  <si>
    <t>転　入</t>
  </si>
  <si>
    <t>転　出</t>
  </si>
  <si>
    <t>婚  姻</t>
  </si>
  <si>
    <t>離  婚</t>
  </si>
  <si>
    <t>Ａ＋Ｂ</t>
  </si>
  <si>
    <t>A＝(1)-(2)</t>
  </si>
  <si>
    <t>（１)</t>
  </si>
  <si>
    <t>（２）</t>
  </si>
  <si>
    <t>B＝(3)-(4)</t>
  </si>
  <si>
    <t>（３)</t>
  </si>
  <si>
    <t>（４）</t>
  </si>
  <si>
    <t>（単位：人、％）</t>
  </si>
  <si>
    <t>市町村別</t>
  </si>
  <si>
    <t>移動率</t>
  </si>
  <si>
    <t>総計</t>
  </si>
  <si>
    <t>西原町</t>
  </si>
  <si>
    <t>与那原町</t>
  </si>
  <si>
    <t>那覇市</t>
  </si>
  <si>
    <t>八重瀬町</t>
  </si>
  <si>
    <t>うるま市</t>
  </si>
  <si>
    <t>南風原町</t>
  </si>
  <si>
    <t>宮古島市</t>
  </si>
  <si>
    <t>久米島町</t>
  </si>
  <si>
    <t>宜野湾市</t>
  </si>
  <si>
    <t>渡嘉敷村</t>
  </si>
  <si>
    <t>南城市</t>
  </si>
  <si>
    <t>座間味村</t>
  </si>
  <si>
    <t>石垣市</t>
  </si>
  <si>
    <t>粟国村</t>
  </si>
  <si>
    <t>名護市</t>
  </si>
  <si>
    <t>渡名喜村</t>
  </si>
  <si>
    <t>糸満市</t>
  </si>
  <si>
    <t>南大東村</t>
  </si>
  <si>
    <t>沖縄市</t>
  </si>
  <si>
    <t>北大東村</t>
  </si>
  <si>
    <t>豊見城市</t>
  </si>
  <si>
    <t>伊平屋村</t>
  </si>
  <si>
    <t>市部計</t>
  </si>
  <si>
    <t>伊是名村</t>
  </si>
  <si>
    <t>多良間村</t>
  </si>
  <si>
    <t>国頭村</t>
  </si>
  <si>
    <t>竹富町</t>
  </si>
  <si>
    <t>大宜味村</t>
  </si>
  <si>
    <t>与那国町</t>
  </si>
  <si>
    <t>東村</t>
  </si>
  <si>
    <t>郡部計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</si>
  <si>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</si>
  <si>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</si>
  <si>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</si>
  <si>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</si>
  <si>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</si>
  <si>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</si>
  <si>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</si>
  <si>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</si>
  <si>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</si>
  <si>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</si>
  <si>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</si>
  <si>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沖縄県</t>
  </si>
  <si>
    <t>東京都</t>
  </si>
  <si>
    <t>愛知県</t>
  </si>
  <si>
    <t>大阪府</t>
  </si>
  <si>
    <t>国外</t>
  </si>
  <si>
    <t>その他</t>
  </si>
  <si>
    <t xml:space="preserve">                                                                      　　　　　　　　　 </t>
  </si>
  <si>
    <t>　</t>
  </si>
  <si>
    <t>平成22年国調人口</t>
  </si>
  <si>
    <t>（25)   平成22年国勢調査による市町村別人口</t>
  </si>
  <si>
    <t>（25)   平成22年国勢調査による市町村別人口（続き）</t>
  </si>
  <si>
    <t>市  町  村  別</t>
  </si>
  <si>
    <t>面　　積</t>
  </si>
  <si>
    <t>世　帯　数</t>
  </si>
  <si>
    <t>人  　  　　　　　  　  口</t>
  </si>
  <si>
    <t xml:space="preserve">  人　　口</t>
  </si>
  <si>
    <t xml:space="preserve"> 平成17年との人口比較</t>
  </si>
  <si>
    <t>人　　口　　比　　重</t>
  </si>
  <si>
    <t>１ｋ㎡当り人口密度</t>
  </si>
  <si>
    <t>増　加　数</t>
  </si>
  <si>
    <t>増 加 率</t>
  </si>
  <si>
    <t>比重の移動</t>
  </si>
  <si>
    <t>浦添市</t>
  </si>
  <si>
    <t>資料：平成22年国勢調査</t>
  </si>
  <si>
    <t>（26）  市町村別人口増加のタイプ</t>
  </si>
  <si>
    <t>（26）  市町村別人口増加のタイプ（続き）</t>
  </si>
  <si>
    <t>平　成　２　年　～　平　成　７　年</t>
  </si>
  <si>
    <t>平　成　７　年　～　平　成　１２　年</t>
  </si>
  <si>
    <t>平　成　１２　年　～　平　成　１７　年</t>
  </si>
  <si>
    <t>平　成　１７　年　～　平　成　２２　年</t>
  </si>
  <si>
    <t>タ イ プ</t>
  </si>
  <si>
    <t>Ａ</t>
  </si>
  <si>
    <t>Ｂ</t>
  </si>
  <si>
    <t>石川市</t>
  </si>
  <si>
    <t>具志川市</t>
  </si>
  <si>
    <t>平良市</t>
  </si>
  <si>
    <t>Ｃ</t>
  </si>
  <si>
    <t>豊見城村</t>
  </si>
  <si>
    <t>(注）平成14年度から豊見城は市制施行している。</t>
  </si>
  <si>
    <t xml:space="preserve">     ※ 算出方法</t>
  </si>
  <si>
    <t>※ タイプ・・・国勢調査による市町村の人口をもとにして、出生死亡数法によって、市町村別の社会増加数を</t>
  </si>
  <si>
    <t xml:space="preserve">     ①　人口増加・・・国勢調査人口によって、各調査年の10月1日現在の人口から５年間の動きを算出した。</t>
  </si>
  <si>
    <t>　　    　 　　推計し、８つのタイプに分けた。</t>
  </si>
  <si>
    <t xml:space="preserve">     ②　自然増加・・・沖縄県企画開発部「人口移動報告年報」より、各年10月～９月までの数値を合計し、</t>
  </si>
  <si>
    <t>①Ａタイプ・・・自然増加＞社会減少</t>
  </si>
  <si>
    <t>⑤△Ａタイプ・・・自然減少＞社会増加</t>
  </si>
  <si>
    <t xml:space="preserve">                       ５年分を算出した。</t>
  </si>
  <si>
    <t>②Ｂタイプ・・・自然増加＞社会増加</t>
  </si>
  <si>
    <t>⑥△Ｂタイプ・・・自然減少＞社会減少</t>
  </si>
  <si>
    <t>　   ③　出生死亡数法・ある期間内の人口増加と自然増加（出生数と死亡数）から、同期間内の社会増加を求</t>
  </si>
  <si>
    <t>③Ｃタイプ・・・自然増加＜社会増加</t>
  </si>
  <si>
    <t>⑦△Ｃタイプ・・・自然減少＜社会減少</t>
  </si>
  <si>
    <t xml:space="preserve">                       める。 人口増加－自然増加＝社会増加</t>
  </si>
  <si>
    <t>④Ｄタイプ・・・自然減少＜社会増加</t>
  </si>
  <si>
    <t>⑧△Ｄタイプ・・・自然増加＜社会減少</t>
  </si>
  <si>
    <t>人口の推移</t>
  </si>
  <si>
    <t>（27）  国勢調査人口の推移（各年共10月１日現在）</t>
  </si>
  <si>
    <t>人　　　　　　  　口</t>
  </si>
  <si>
    <t>一  世  帯
当 り 人 員</t>
  </si>
  <si>
    <t xml:space="preserve">  対　前　回</t>
  </si>
  <si>
    <t xml:space="preserve">  人口増加率</t>
  </si>
  <si>
    <t xml:space="preserve">    （％）</t>
  </si>
  <si>
    <t>昭和５年</t>
  </si>
  <si>
    <t>…</t>
  </si>
  <si>
    <t>平成２年</t>
  </si>
  <si>
    <t>12</t>
  </si>
  <si>
    <t>17</t>
  </si>
  <si>
    <t>22</t>
  </si>
  <si>
    <t>（注）昭和25年の人口増加率は、昭和15年をもとにした。</t>
  </si>
  <si>
    <t>（28）年齢（５歳階級）、配偶関係及び男女別15歳以上人口</t>
  </si>
  <si>
    <t>(単位：人）</t>
  </si>
  <si>
    <t>有配偶</t>
  </si>
  <si>
    <t>平成12年</t>
  </si>
  <si>
    <t>15～19歳</t>
  </si>
  <si>
    <t>20～24</t>
  </si>
  <si>
    <t>25～29</t>
  </si>
  <si>
    <t>30～34</t>
  </si>
  <si>
    <t>35～44</t>
  </si>
  <si>
    <t>45～54</t>
  </si>
  <si>
    <t>55～64</t>
  </si>
  <si>
    <t>65歳以上</t>
  </si>
  <si>
    <t>（注）配偶関係「不詳」を含む。</t>
  </si>
  <si>
    <t>（29）夫の年齢（５歳階級）、妻の年齢（５歳階級）別高齢夫婦世帯数</t>
  </si>
  <si>
    <t>（単位：世帯、人）</t>
  </si>
  <si>
    <t>夫の年齢</t>
  </si>
  <si>
    <t>妻が</t>
  </si>
  <si>
    <t>（５歳階級）</t>
  </si>
  <si>
    <t>60歳未満</t>
  </si>
  <si>
    <t>60～64</t>
  </si>
  <si>
    <t>65～69</t>
  </si>
  <si>
    <t>70～74</t>
  </si>
  <si>
    <t>75～79</t>
  </si>
  <si>
    <t>80～84</t>
  </si>
  <si>
    <t>85歳以上</t>
  </si>
  <si>
    <t>夫が60歳未満</t>
  </si>
  <si>
    <t>年 齢 構 造</t>
  </si>
  <si>
    <t>（30）  年齢階層別人口の推移（各年10月１日現在）</t>
  </si>
  <si>
    <t>（32）  年齢構造指数</t>
  </si>
  <si>
    <t>年　　　次</t>
  </si>
  <si>
    <t>年　　　　　次</t>
  </si>
  <si>
    <t>年少人口指数</t>
  </si>
  <si>
    <t>老年人口指数</t>
  </si>
  <si>
    <t>従属人口指数</t>
  </si>
  <si>
    <t>老年化指数</t>
  </si>
  <si>
    <t>（０歳～14歳）</t>
  </si>
  <si>
    <t>（65歳以上）</t>
  </si>
  <si>
    <t>うち男</t>
  </si>
  <si>
    <t>平 成 ７ 年</t>
  </si>
  <si>
    <t>０～14歳人口</t>
  </si>
  <si>
    <t>65歳以上人口</t>
  </si>
  <si>
    <t xml:space="preserve"> ※ 年少人口指数＝</t>
  </si>
  <si>
    <t xml:space="preserve">          </t>
  </si>
  <si>
    <t>× 100</t>
  </si>
  <si>
    <t xml:space="preserve"> 老年人口指数＝</t>
  </si>
  <si>
    <t>　 × 100</t>
  </si>
  <si>
    <t>15～64歳人口</t>
  </si>
  <si>
    <t>（注）総数には「年齢不詳」を含まない。</t>
  </si>
  <si>
    <t xml:space="preserve">                                                         </t>
  </si>
  <si>
    <t xml:space="preserve"> ０～14歳人口＋65歳以上人口</t>
  </si>
  <si>
    <r>
      <t xml:space="preserve"> 　 </t>
    </r>
    <r>
      <rPr>
        <sz val="8"/>
        <rFont val="ＭＳ 明朝"/>
        <family val="1"/>
        <charset val="128"/>
      </rPr>
      <t xml:space="preserve">   </t>
    </r>
    <r>
      <rPr>
        <sz val="10"/>
        <rFont val="ＭＳ 明朝"/>
        <family val="1"/>
        <charset val="128"/>
      </rPr>
      <t>65歳以上人口</t>
    </r>
  </si>
  <si>
    <t xml:space="preserve">    従属人口指数＝</t>
  </si>
  <si>
    <t xml:space="preserve">　× 100  </t>
  </si>
  <si>
    <t xml:space="preserve"> 老年化指数＝</t>
  </si>
  <si>
    <t xml:space="preserve"> 　× 100</t>
  </si>
  <si>
    <t>（31）  年齢５歳階級別、男女別人口（各年10月１日現在）</t>
  </si>
  <si>
    <t xml:space="preserve">     区　  　　分</t>
  </si>
  <si>
    <t>総　  数</t>
  </si>
  <si>
    <t>０～４</t>
  </si>
  <si>
    <t>５～９</t>
  </si>
  <si>
    <t>10～14</t>
  </si>
  <si>
    <t>15～19</t>
  </si>
  <si>
    <t>35～39</t>
  </si>
  <si>
    <t>40～44</t>
  </si>
  <si>
    <t>45～49</t>
  </si>
  <si>
    <t>50～54</t>
  </si>
  <si>
    <t>55～59</t>
  </si>
  <si>
    <t>80歳以上</t>
  </si>
  <si>
    <t>年齢不詳</t>
  </si>
  <si>
    <t>平</t>
  </si>
  <si>
    <t>総人口に対する割合(％)</t>
  </si>
  <si>
    <t>成</t>
  </si>
  <si>
    <t>総　　　　数</t>
  </si>
  <si>
    <t>年</t>
  </si>
  <si>
    <r>
      <t>人口集中地区　</t>
    </r>
    <r>
      <rPr>
        <sz val="10"/>
        <rFont val="ＭＳ 明朝"/>
        <family val="1"/>
        <charset val="128"/>
      </rPr>
      <t xml:space="preserve"> </t>
    </r>
  </si>
  <si>
    <t>（33）  市部別、人口集中地区（Ｄ・Ｉ・Ｄｓ）の人口増減、面積及び人口密度</t>
  </si>
  <si>
    <t>（単位：人、㎢、％）</t>
  </si>
  <si>
    <t>総人口に占める</t>
  </si>
  <si>
    <t xml:space="preserve">総面積に占める </t>
  </si>
  <si>
    <t>実数</t>
  </si>
  <si>
    <t>率</t>
  </si>
  <si>
    <t>（k㎡）</t>
  </si>
  <si>
    <t>　　　(１k㎡当り人口)</t>
  </si>
  <si>
    <t>人口割合</t>
  </si>
  <si>
    <t>　　面　積　割　合（％）</t>
  </si>
  <si>
    <t>沖　縄　県　　</t>
  </si>
  <si>
    <t>那　覇　市</t>
  </si>
  <si>
    <t>石　垣　市</t>
  </si>
  <si>
    <t>浦　添　市</t>
  </si>
  <si>
    <t>名　護　市</t>
  </si>
  <si>
    <t>糸　満　市</t>
  </si>
  <si>
    <t>沖　縄　市</t>
  </si>
  <si>
    <t xml:space="preserve">  </t>
  </si>
  <si>
    <t>０  ～　14  歳</t>
  </si>
  <si>
    <t>15　～　64　歳　　　</t>
  </si>
  <si>
    <t>総　　　 数</t>
  </si>
  <si>
    <r>
      <t xml:space="preserve"> 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総　  数</t>
    </r>
  </si>
  <si>
    <t>沖　縄　県</t>
  </si>
  <si>
    <t>市　　　　部</t>
  </si>
  <si>
    <t>郡　　　　部</t>
  </si>
  <si>
    <t>（注）65歳以上人口には、年齢不詳を含む。</t>
  </si>
  <si>
    <t xml:space="preserve">  ※  人口集中地区（Ｄ・Ｉ・Ｄｓ）とは、各市町村の境域内で人口密度の高い調査区（人口密度１平方キロ</t>
  </si>
  <si>
    <t>　なお、広大な工場地域・湾港施設・学校・都市公園・官公庁の施設がある地域は、人口密度に関係なく、こ</t>
  </si>
  <si>
    <t>　　メートル当り 4,000人以上）が隣接して、それが人口 5,000人以上の地域を構成する地区のことである。</t>
  </si>
  <si>
    <t>れと隣接する人口密度の高い調査区の地域に含めている。</t>
  </si>
  <si>
    <t>　　この場合、平成12年国勢調査区を基礎単位地域としている。</t>
  </si>
  <si>
    <t>（35）  市別、住宅の所有関係別世帯数</t>
  </si>
  <si>
    <t>住　宅　に　住　む　一　般　世　帯　数</t>
  </si>
  <si>
    <t>住宅以外</t>
  </si>
  <si>
    <t>１世帯</t>
  </si>
  <si>
    <t>１人当り</t>
  </si>
  <si>
    <t>に住む</t>
  </si>
  <si>
    <t>当り</t>
  </si>
  <si>
    <t>持ち家</t>
  </si>
  <si>
    <t>公営借家</t>
  </si>
  <si>
    <t>民営借家</t>
  </si>
  <si>
    <t>給与住宅</t>
  </si>
  <si>
    <t>間 借</t>
  </si>
  <si>
    <t>一般世帯</t>
  </si>
  <si>
    <t>延面積</t>
  </si>
  <si>
    <t xml:space="preserve"> (36)  住宅の人員数、及び面積</t>
  </si>
  <si>
    <t>住 居 の
種 類 別</t>
  </si>
  <si>
    <t>世　　帯　　数</t>
  </si>
  <si>
    <t>世　帯　人　員</t>
  </si>
  <si>
    <t>１  世  帯  当  り</t>
  </si>
  <si>
    <t>人　　員</t>
  </si>
  <si>
    <t>延べ面積</t>
  </si>
  <si>
    <t>17年</t>
  </si>
  <si>
    <t>22年</t>
  </si>
  <si>
    <t>　　(持ち家)</t>
  </si>
  <si>
    <t>　　(公営住宅)</t>
  </si>
  <si>
    <t>　　(民営借家)</t>
  </si>
  <si>
    <t>　　(給与住宅)</t>
  </si>
  <si>
    <t>　　(間借り)</t>
  </si>
  <si>
    <t>ネパール</t>
    <phoneticPr fontId="20"/>
  </si>
  <si>
    <t>福岡県</t>
    <phoneticPr fontId="20"/>
  </si>
  <si>
    <t>神奈川県</t>
    <rPh sb="0" eb="4">
      <t>カナガワケン</t>
    </rPh>
    <phoneticPr fontId="20"/>
  </si>
  <si>
    <t>千葉県</t>
    <phoneticPr fontId="20"/>
  </si>
  <si>
    <t>埼玉県</t>
    <rPh sb="0" eb="3">
      <t>サイタマケン</t>
    </rPh>
    <phoneticPr fontId="20"/>
  </si>
  <si>
    <t>兵庫県</t>
    <rPh sb="0" eb="3">
      <t>ヒョウゴケン</t>
    </rPh>
    <phoneticPr fontId="20"/>
  </si>
  <si>
    <t>平成23年</t>
    <phoneticPr fontId="20"/>
  </si>
  <si>
    <t>順　位</t>
    <phoneticPr fontId="20"/>
  </si>
  <si>
    <t>都 道 府 県</t>
    <phoneticPr fontId="20"/>
  </si>
  <si>
    <t>移 動 数</t>
    <phoneticPr fontId="20"/>
  </si>
  <si>
    <t>総          数</t>
    <phoneticPr fontId="20"/>
  </si>
  <si>
    <t>転 入</t>
    <phoneticPr fontId="20"/>
  </si>
  <si>
    <t>転 出</t>
    <phoneticPr fontId="20"/>
  </si>
  <si>
    <r>
      <t>Ⅱ</t>
    </r>
    <r>
      <rPr>
        <b/>
        <sz val="16"/>
        <rFont val="ＭＳ 明朝"/>
        <family val="1"/>
        <charset val="128"/>
      </rPr>
      <t>　人　　口</t>
    </r>
    <phoneticPr fontId="20"/>
  </si>
  <si>
    <t xml:space="preserve">（15）  住民登録人口の推移①　（各年共12月末日現在） </t>
    <rPh sb="18" eb="20">
      <t>カクネン</t>
    </rPh>
    <rPh sb="20" eb="21">
      <t>トモ</t>
    </rPh>
    <rPh sb="23" eb="24">
      <t>ガツ</t>
    </rPh>
    <rPh sb="24" eb="25">
      <t>マツ</t>
    </rPh>
    <rPh sb="25" eb="26">
      <t>ヒ</t>
    </rPh>
    <rPh sb="26" eb="28">
      <t>ゲンザイ</t>
    </rPh>
    <phoneticPr fontId="20"/>
  </si>
  <si>
    <t>（単位：世帯、人、％）</t>
    <rPh sb="1" eb="3">
      <t>タンイ</t>
    </rPh>
    <rPh sb="4" eb="6">
      <t>セタイ</t>
    </rPh>
    <rPh sb="7" eb="8">
      <t>ニン</t>
    </rPh>
    <phoneticPr fontId="20"/>
  </si>
  <si>
    <t>年　　次</t>
    <phoneticPr fontId="20"/>
  </si>
  <si>
    <t>世 帯 数</t>
    <rPh sb="0" eb="1">
      <t>ヨ</t>
    </rPh>
    <rPh sb="2" eb="3">
      <t>オビ</t>
    </rPh>
    <rPh sb="4" eb="5">
      <t>カズ</t>
    </rPh>
    <phoneticPr fontId="20"/>
  </si>
  <si>
    <t>人　　　　　　口</t>
    <phoneticPr fontId="20"/>
  </si>
  <si>
    <t>一 世 帯</t>
    <rPh sb="2" eb="3">
      <t>ヨ</t>
    </rPh>
    <rPh sb="4" eb="5">
      <t>オビ</t>
    </rPh>
    <phoneticPr fontId="20"/>
  </si>
  <si>
    <t>総　　数</t>
    <phoneticPr fontId="20"/>
  </si>
  <si>
    <t>男</t>
    <phoneticPr fontId="20"/>
  </si>
  <si>
    <t>女</t>
    <phoneticPr fontId="20"/>
  </si>
  <si>
    <t>当り人口</t>
    <rPh sb="0" eb="1">
      <t>アタ</t>
    </rPh>
    <rPh sb="2" eb="4">
      <t>ジンコウ</t>
    </rPh>
    <phoneticPr fontId="20"/>
  </si>
  <si>
    <t>平成14年</t>
    <rPh sb="0" eb="2">
      <t>ヘイセイ</t>
    </rPh>
    <rPh sb="4" eb="5">
      <t>ネン</t>
    </rPh>
    <phoneticPr fontId="20"/>
  </si>
  <si>
    <r>
      <t>平成</t>
    </r>
    <r>
      <rPr>
        <sz val="10"/>
        <rFont val="ＭＳ 明朝"/>
        <family val="1"/>
        <charset val="128"/>
      </rPr>
      <t>16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</si>
  <si>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t>平成</t>
    </r>
    <r>
      <rPr>
        <sz val="10"/>
        <rFont val="ＭＳ 明朝"/>
        <family val="1"/>
        <charset val="128"/>
      </rPr>
      <t>17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</si>
  <si>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t>平成</t>
    </r>
    <r>
      <rPr>
        <sz val="10"/>
        <rFont val="ＭＳ 明朝"/>
        <family val="1"/>
        <charset val="128"/>
      </rPr>
      <t>19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</si>
  <si>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t>平成</t>
    </r>
    <r>
      <rPr>
        <sz val="10"/>
        <rFont val="ＭＳ 明朝"/>
        <family val="1"/>
        <charset val="128"/>
      </rPr>
      <t>20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</si>
  <si>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t>平成</t>
    </r>
    <r>
      <rPr>
        <sz val="10"/>
        <rFont val="ＭＳ 明朝"/>
        <family val="1"/>
        <charset val="128"/>
      </rPr>
      <t>21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</si>
  <si>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t>資料：企画課</t>
    <rPh sb="3" eb="5">
      <t>キカク</t>
    </rPh>
    <phoneticPr fontId="20"/>
  </si>
  <si>
    <t>（16）  住民登録人口の推移② （各年共３月末日現在）</t>
    <rPh sb="18" eb="20">
      <t>カクネン</t>
    </rPh>
    <rPh sb="20" eb="21">
      <t>トモ</t>
    </rPh>
    <rPh sb="22" eb="24">
      <t>ガツマツ</t>
    </rPh>
    <rPh sb="24" eb="25">
      <t>ヒ</t>
    </rPh>
    <rPh sb="25" eb="27">
      <t>ゲンザイ</t>
    </rPh>
    <phoneticPr fontId="20"/>
  </si>
  <si>
    <t>年　　次</t>
    <phoneticPr fontId="20"/>
  </si>
  <si>
    <t>人　　　　　　口</t>
    <phoneticPr fontId="20"/>
  </si>
  <si>
    <t>一 世 帯</t>
    <phoneticPr fontId="20"/>
  </si>
  <si>
    <t>総　　数</t>
    <phoneticPr fontId="20"/>
  </si>
  <si>
    <t>男</t>
    <phoneticPr fontId="20"/>
  </si>
  <si>
    <t>女</t>
    <phoneticPr fontId="20"/>
  </si>
  <si>
    <r>
      <t>平成</t>
    </r>
    <r>
      <rPr>
        <sz val="10"/>
        <rFont val="ＭＳ 明朝"/>
        <family val="1"/>
        <charset val="128"/>
      </rPr>
      <t>18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</si>
  <si>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t xml:space="preserve">（17）  年齢階層別人口の推移（各年共３月末日現在）  </t>
    <rPh sb="17" eb="19">
      <t>カクネン</t>
    </rPh>
    <rPh sb="19" eb="20">
      <t>トモ</t>
    </rPh>
    <rPh sb="21" eb="23">
      <t>ガツマツ</t>
    </rPh>
    <rPh sb="23" eb="24">
      <t>ヒ</t>
    </rPh>
    <rPh sb="24" eb="26">
      <t>ゲンザイ</t>
    </rPh>
    <phoneticPr fontId="20"/>
  </si>
  <si>
    <t>（単位：人）</t>
    <rPh sb="1" eb="3">
      <t>タンイ</t>
    </rPh>
    <rPh sb="4" eb="5">
      <t>ニン</t>
    </rPh>
    <phoneticPr fontId="20"/>
  </si>
  <si>
    <t>年　　次</t>
    <phoneticPr fontId="20"/>
  </si>
  <si>
    <t>年少人口</t>
    <phoneticPr fontId="20"/>
  </si>
  <si>
    <t xml:space="preserve"> 生産年齢人口</t>
    <phoneticPr fontId="20"/>
  </si>
  <si>
    <t>老年人口</t>
    <phoneticPr fontId="20"/>
  </si>
  <si>
    <t xml:space="preserve"> （０歳～14歳）</t>
    <phoneticPr fontId="20"/>
  </si>
  <si>
    <t>（15歳～64歳）</t>
    <phoneticPr fontId="20"/>
  </si>
  <si>
    <t xml:space="preserve"> （65歳以上）</t>
    <phoneticPr fontId="20"/>
  </si>
  <si>
    <t>総　　数</t>
    <phoneticPr fontId="20"/>
  </si>
  <si>
    <t>男</t>
    <phoneticPr fontId="20"/>
  </si>
  <si>
    <t>女</t>
    <phoneticPr fontId="20"/>
  </si>
  <si>
    <t>資料：企画課</t>
    <phoneticPr fontId="20"/>
  </si>
  <si>
    <t>市  部  別</t>
    <phoneticPr fontId="20"/>
  </si>
  <si>
    <t>人         口</t>
    <phoneticPr fontId="20"/>
  </si>
  <si>
    <t>人 口 密 度</t>
    <phoneticPr fontId="20"/>
  </si>
  <si>
    <t>Ｄ・I・Ｄs</t>
    <phoneticPr fontId="20"/>
  </si>
  <si>
    <t xml:space="preserve">    Ｄ・I・Ｄs　　</t>
    <phoneticPr fontId="20"/>
  </si>
  <si>
    <t>　　 △Ｄ</t>
    <phoneticPr fontId="20"/>
  </si>
  <si>
    <t>　　　△Ｄ</t>
    <phoneticPr fontId="20"/>
  </si>
  <si>
    <t>△Ｄ</t>
    <phoneticPr fontId="20"/>
  </si>
  <si>
    <t>総　　　数</t>
    <phoneticPr fontId="20"/>
  </si>
  <si>
    <t>総　数</t>
    <phoneticPr fontId="20"/>
  </si>
  <si>
    <t>未 婚</t>
    <phoneticPr fontId="20"/>
  </si>
  <si>
    <t>死 別</t>
    <phoneticPr fontId="20"/>
  </si>
  <si>
    <t>離 別</t>
    <phoneticPr fontId="20"/>
  </si>
  <si>
    <t>離 別</t>
    <phoneticPr fontId="20"/>
  </si>
  <si>
    <t>平成17年</t>
    <phoneticPr fontId="20"/>
  </si>
  <si>
    <t xml:space="preserve">        </t>
    <phoneticPr fontId="20"/>
  </si>
  <si>
    <t xml:space="preserve"> 平成22年</t>
    <phoneticPr fontId="20"/>
  </si>
  <si>
    <t>沖縄県　</t>
    <phoneticPr fontId="20"/>
  </si>
  <si>
    <t>　住　　宅</t>
    <phoneticPr fontId="20"/>
  </si>
  <si>
    <t>-</t>
    <phoneticPr fontId="20"/>
  </si>
  <si>
    <t>-</t>
    <phoneticPr fontId="20"/>
  </si>
  <si>
    <t>年　齢</t>
    <phoneticPr fontId="20"/>
  </si>
  <si>
    <t>15 歳 以 上 人 口</t>
    <phoneticPr fontId="20"/>
  </si>
  <si>
    <t xml:space="preserve"> -　</t>
    <phoneticPr fontId="20"/>
  </si>
  <si>
    <t>中央北地区</t>
    <phoneticPr fontId="20"/>
  </si>
  <si>
    <t xml:space="preserve">中央西地区 </t>
    <phoneticPr fontId="20"/>
  </si>
  <si>
    <t>中央地区</t>
    <phoneticPr fontId="20"/>
  </si>
  <si>
    <t>南地区</t>
    <phoneticPr fontId="20"/>
  </si>
  <si>
    <t>東地区</t>
    <phoneticPr fontId="20"/>
  </si>
  <si>
    <t>本　　市　　へ　　の　　転　　入</t>
    <phoneticPr fontId="20"/>
  </si>
  <si>
    <t>本　　市　　か　　ら　　の　　転　　出</t>
    <phoneticPr fontId="20"/>
  </si>
  <si>
    <t>妻　　　が　　　60　　　歳　　　以　　　上</t>
    <phoneticPr fontId="20"/>
  </si>
  <si>
    <t>年　少　人　口</t>
    <phoneticPr fontId="20"/>
  </si>
  <si>
    <t>生　産　年　齢　人　口</t>
    <phoneticPr fontId="20"/>
  </si>
  <si>
    <t>老　年　人　口</t>
    <phoneticPr fontId="20"/>
  </si>
  <si>
    <t>　　　　　　人  口  増</t>
    <phoneticPr fontId="20"/>
  </si>
  <si>
    <t xml:space="preserve"> 減</t>
    <phoneticPr fontId="20"/>
  </si>
  <si>
    <t>市　　　別</t>
    <phoneticPr fontId="20"/>
  </si>
  <si>
    <t>平　成  ７　年　</t>
    <phoneticPr fontId="20"/>
  </si>
  <si>
    <r>
      <rPr>
        <sz val="10"/>
        <color indexed="9"/>
        <rFont val="ＭＳ 明朝"/>
        <family val="1"/>
        <charset val="128"/>
      </rPr>
      <t>平　成</t>
    </r>
    <r>
      <rPr>
        <sz val="10"/>
        <rFont val="ＭＳ 明朝"/>
        <family val="1"/>
        <charset val="128"/>
      </rPr>
      <t>12　</t>
    </r>
    <r>
      <rPr>
        <sz val="10"/>
        <color indexed="9"/>
        <rFont val="ＭＳ 明朝"/>
        <family val="1"/>
        <charset val="128"/>
      </rPr>
      <t>年</t>
    </r>
    <rPh sb="0" eb="1">
      <t>ヒラ</t>
    </rPh>
    <rPh sb="2" eb="3">
      <t>シゲル</t>
    </rPh>
    <rPh sb="6" eb="7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</si>
  <si>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17</t>
    </r>
    <r>
      <rPr>
        <sz val="10"/>
        <color indexed="9"/>
        <rFont val="ＭＳ 明朝"/>
        <family val="1"/>
        <charset val="128"/>
      </rPr>
      <t>年</t>
    </r>
    <r>
      <rPr>
        <sz val="10"/>
        <rFont val="ＭＳ 明朝"/>
        <family val="1"/>
        <charset val="128"/>
      </rPr>
      <t>　</t>
    </r>
    <rPh sb="0" eb="1">
      <t>ヒラ</t>
    </rPh>
    <rPh sb="1" eb="2">
      <t>シゲル</t>
    </rPh>
    <phoneticPr fontId="20"/>
  </si>
  <si>
    <r>
      <rPr>
        <b/>
        <sz val="10"/>
        <color indexed="9"/>
        <rFont val="ＭＳ 明朝"/>
        <family val="1"/>
        <charset val="128"/>
      </rPr>
      <t>平　成</t>
    </r>
    <r>
      <rPr>
        <b/>
        <sz val="10"/>
        <rFont val="ＭＳ 明朝"/>
        <family val="1"/>
        <charset val="128"/>
      </rPr>
      <t>22</t>
    </r>
    <r>
      <rPr>
        <b/>
        <sz val="10"/>
        <color indexed="9"/>
        <rFont val="ＭＳ 明朝"/>
        <family val="1"/>
        <charset val="128"/>
      </rPr>
      <t xml:space="preserve">  年　</t>
    </r>
    <rPh sb="0" eb="1">
      <t>ヒラ</t>
    </rPh>
    <rPh sb="2" eb="3">
      <t>シゲル</t>
    </rPh>
    <phoneticPr fontId="20"/>
  </si>
  <si>
    <r>
      <rPr>
        <sz val="10"/>
        <color indexed="9"/>
        <rFont val="ＭＳ 明朝"/>
        <family val="1"/>
        <charset val="128"/>
      </rPr>
      <t xml:space="preserve">平 成 </t>
    </r>
    <r>
      <rPr>
        <sz val="10"/>
        <rFont val="ＭＳ 明朝"/>
        <family val="1"/>
        <charset val="128"/>
      </rPr>
      <t xml:space="preserve">12 </t>
    </r>
    <r>
      <rPr>
        <sz val="10"/>
        <color indexed="9"/>
        <rFont val="ＭＳ 明朝"/>
        <family val="1"/>
        <charset val="128"/>
      </rPr>
      <t>年</t>
    </r>
    <phoneticPr fontId="20"/>
  </si>
  <si>
    <r>
      <rPr>
        <sz val="10"/>
        <color indexed="9"/>
        <rFont val="ＭＳ 明朝"/>
        <family val="1"/>
        <charset val="128"/>
      </rPr>
      <t xml:space="preserve">平 成 </t>
    </r>
    <r>
      <rPr>
        <sz val="10"/>
        <rFont val="ＭＳ 明朝"/>
        <family val="1"/>
        <charset val="128"/>
      </rPr>
      <t>17</t>
    </r>
    <r>
      <rPr>
        <sz val="10"/>
        <color indexed="9"/>
        <rFont val="ＭＳ 明朝"/>
        <family val="1"/>
        <charset val="128"/>
      </rPr>
      <t xml:space="preserve"> 年</t>
    </r>
    <phoneticPr fontId="20"/>
  </si>
  <si>
    <r>
      <rPr>
        <b/>
        <sz val="10"/>
        <color indexed="9"/>
        <rFont val="ＭＳ 明朝"/>
        <family val="1"/>
        <charset val="128"/>
      </rPr>
      <t>平 成</t>
    </r>
    <r>
      <rPr>
        <b/>
        <sz val="10"/>
        <rFont val="ＭＳ 明朝"/>
        <family val="1"/>
        <charset val="128"/>
      </rPr>
      <t xml:space="preserve"> 22 </t>
    </r>
    <r>
      <rPr>
        <b/>
        <sz val="10"/>
        <color indexed="9"/>
        <rFont val="ＭＳ 明朝"/>
        <family val="1"/>
        <charset val="128"/>
      </rPr>
      <t>年</t>
    </r>
    <phoneticPr fontId="20"/>
  </si>
  <si>
    <t>　一般世帯</t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</si>
  <si>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９</t>
    </r>
    <r>
      <rPr>
        <sz val="10"/>
        <color indexed="9"/>
        <rFont val="ＭＳ 明朝"/>
        <family val="1"/>
        <charset val="128"/>
      </rPr>
      <t>年</t>
    </r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</si>
  <si>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10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</si>
  <si>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11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</si>
  <si>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12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</si>
  <si>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13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</si>
  <si>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14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</si>
  <si>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15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</si>
  <si>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16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</si>
  <si>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17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</si>
  <si>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18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</si>
  <si>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19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</si>
  <si>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20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</si>
  <si>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t>23年</t>
    </r>
    <r>
      <rPr>
        <sz val="10"/>
        <rFont val="ＭＳ 明朝"/>
        <family val="1"/>
        <charset val="128"/>
      </rPr>
      <t>２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</si>
  <si>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３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</si>
  <si>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４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</si>
  <si>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５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</si>
  <si>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６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</si>
  <si>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７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</si>
  <si>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８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</si>
  <si>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９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</si>
  <si>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10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</si>
  <si>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11</t>
    </r>
    <r>
      <rPr>
        <sz val="10"/>
        <color indexed="9"/>
        <rFont val="ＭＳ 明朝"/>
        <family val="1"/>
        <charset val="128"/>
      </rPr>
      <t>月</t>
    </r>
    <phoneticPr fontId="20"/>
  </si>
  <si>
    <r>
      <t>23年</t>
    </r>
    <r>
      <rPr>
        <sz val="10"/>
        <rFont val="ＭＳ 明朝"/>
        <family val="1"/>
        <charset val="128"/>
      </rPr>
      <t>12</t>
    </r>
    <r>
      <rPr>
        <sz val="10"/>
        <color indexed="9"/>
        <rFont val="ＭＳ 明朝"/>
        <family val="1"/>
        <charset val="128"/>
      </rPr>
      <t>月</t>
    </r>
    <phoneticPr fontId="20"/>
  </si>
  <si>
    <t xml:space="preserve">　平成22年10月１日現在の沖縄県の総人口は、 1,392,818人で前回調査の平成17年と比べ 31,224人増加している。人口を市町村別にみると市部では、①那覇市が315,954人（県人口の22.7％）で最も多く、次いで②沖縄市が130,249人（同 9.4％）、③うるま市 116,979人（同 8.4％）、④本市 11,0351人(同7.9％）、⑤宜野湾市91,928人（同6.6％）の順となっている。地域別の人口構成では、那覇市を中心とする中南部に人口が集中している。
　沖縄県の対前回増加率は 2.3％で、平成17年の 3.3％と比べ1ポイントの減少となった。本市における対前回増加率は4.1％で、前回の3.2％に比べ0.9ポイント増加している。 </t>
    <rPh sb="279" eb="281">
      <t>ゲンショウ</t>
    </rPh>
    <rPh sb="313" eb="314">
      <t>クラ</t>
    </rPh>
    <rPh sb="322" eb="324">
      <t>ゾウカ</t>
    </rPh>
    <phoneticPr fontId="20"/>
  </si>
  <si>
    <t>与那原町</t>
    <rPh sb="0" eb="4">
      <t>ヨナバルチョウ</t>
    </rPh>
    <phoneticPr fontId="20"/>
  </si>
  <si>
    <t>　　　 平成14年4月1日、豊見城市誕生。平成17年4月１日うるま市誕生。平成17年10月１日宮古島市誕生。</t>
    <rPh sb="4" eb="6">
      <t>ヘイセイ</t>
    </rPh>
    <rPh sb="8" eb="9">
      <t>ネン</t>
    </rPh>
    <rPh sb="10" eb="11">
      <t>ガツ</t>
    </rPh>
    <rPh sb="12" eb="13">
      <t>ニチ</t>
    </rPh>
    <rPh sb="14" eb="15">
      <t>トヨ</t>
    </rPh>
    <rPh sb="15" eb="16">
      <t>ミ</t>
    </rPh>
    <rPh sb="16" eb="17">
      <t>シロ</t>
    </rPh>
    <rPh sb="17" eb="18">
      <t>シ</t>
    </rPh>
    <rPh sb="18" eb="20">
      <t>タンジョウ</t>
    </rPh>
    <phoneticPr fontId="20"/>
  </si>
  <si>
    <t xml:space="preserve">　　　 那覇市、豊見城市は一部境界未定があるため、総務省統計局において推定した。 </t>
    <rPh sb="11" eb="12">
      <t>シ</t>
    </rPh>
    <rPh sb="25" eb="28">
      <t>ソウムショウ</t>
    </rPh>
    <rPh sb="28" eb="31">
      <t>トウケイキョク</t>
    </rPh>
    <rPh sb="35" eb="36">
      <t>スイ</t>
    </rPh>
    <rPh sb="36" eb="37">
      <t>サダム</t>
    </rPh>
    <phoneticPr fontId="20"/>
  </si>
  <si>
    <t>南城市</t>
    <rPh sb="0" eb="1">
      <t>ナン</t>
    </rPh>
    <rPh sb="1" eb="2">
      <t>シロ</t>
    </rPh>
    <rPh sb="2" eb="3">
      <t>シ</t>
    </rPh>
    <phoneticPr fontId="20"/>
  </si>
  <si>
    <t>　　　 平成18年1月1日、南城市誕生。</t>
    <rPh sb="4" eb="6">
      <t>ヘイセイ</t>
    </rPh>
    <rPh sb="8" eb="9">
      <t>ネン</t>
    </rPh>
    <rPh sb="10" eb="11">
      <t>ガツ</t>
    </rPh>
    <rPh sb="12" eb="13">
      <t>ニチ</t>
    </rPh>
    <rPh sb="14" eb="16">
      <t>ナンジョウ</t>
    </rPh>
    <rPh sb="16" eb="17">
      <t>シ</t>
    </rPh>
    <rPh sb="17" eb="19">
      <t>タンジョウ</t>
    </rPh>
    <phoneticPr fontId="20"/>
  </si>
  <si>
    <t>　人口増加数では、①豊見城市が 4,745人で最も多く、次に②本市 4,302人，③沖縄市 3,849人、④那覇市 3,561人、⑤うるま市 3,444人の順となっている。人口比重（総人口に占める割合）の移動では，豊見城市が 1.5で最も高く、次いで ②本市、③沖縄市と続くが，那覇市ではマイナス 2.6と大幅に低下している。
　沖縄県の人口密度は１平方キロメートル当り 611.9人で、前回の平成17年と比べて 13.3人高くなっている。市町村別では、①那覇市が 8,051.8人で最も高く、次いで②本市 5,780.6人、③宜野湾市 4,666.4人の順となっている。</t>
    <rPh sb="10" eb="13">
      <t>トミグスク</t>
    </rPh>
    <rPh sb="31" eb="32">
      <t>ホン</t>
    </rPh>
    <rPh sb="42" eb="44">
      <t>オキナワ</t>
    </rPh>
    <rPh sb="54" eb="56">
      <t>ナハ</t>
    </rPh>
    <rPh sb="127" eb="128">
      <t>ホン</t>
    </rPh>
    <rPh sb="131" eb="133">
      <t>オキナワ</t>
    </rPh>
    <rPh sb="139" eb="142">
      <t>ナハシ</t>
    </rPh>
    <rPh sb="261" eb="262">
      <t>ニン</t>
    </rPh>
    <phoneticPr fontId="20"/>
  </si>
  <si>
    <t>　古い記録にみる本市の人口は、明治16年に 8,574人とあるが、その後徐々に増加し大正２年には12,088人となっている。やがて昭和に入ると人口の伸びは低調となり、昭和15年まで11,000人台の人口で推移している。
　しかし、昭和25年の第二兵站部隊の移駐 （具志川市天願より）を契機に大幅な人口の流入が生じ、昭和30年には 18,832人で対前回増加率 58.12％という急激な伸びを記録した。
　その後基地の影響もうすれ、増加率は昭和35年 30.16％、40年 25.74％と鈍化の傾向が続いたが、この頃を境に45年 35.52％、50年 41.95％と再び高い増加に転じて、人口急増の傾向を顕著なものとしたが、その後社会増の低下により55年18.54％、60年 16.12％と再び鈍化傾向を示した。
　平成22年10月１日現在の人口は 110,351人で前回 （平成17年）に比べ 4,302人（県下第2位）の増加数となっている。しかし、対前回増加率は 4.06％で、平成17年と同様に人口増加の傾向が緩やかになっている。</t>
    <rPh sb="440" eb="442">
      <t>ヘイセイ</t>
    </rPh>
    <rPh sb="444" eb="445">
      <t>ネン</t>
    </rPh>
    <rPh sb="446" eb="448">
      <t>ドウヨウ</t>
    </rPh>
    <rPh sb="449" eb="451">
      <t>ジンコウ</t>
    </rPh>
    <rPh sb="451" eb="453">
      <t>ゾウカ</t>
    </rPh>
    <rPh sb="454" eb="456">
      <t>ケイコウ</t>
    </rPh>
    <rPh sb="457" eb="458">
      <t>ユル</t>
    </rPh>
    <phoneticPr fontId="20"/>
  </si>
  <si>
    <t>　年齢構造について、過去10回の国勢調査でみていくと、年少人口の構成比の低下、生産年齢人口の構成比の増大、老年人口の漸増という過程で推移しており、平成22年には年少人口が21,264人（19.3％）、生産年齢人口72,687人（同65.9％）、老年人口が15,846人（同 14.4％）となっている。このような傾向は、少産少死型の人口構成への移行を意味しており、近年の家族計画による出生率の低下および医学の進歩による死</t>
    <phoneticPr fontId="20"/>
  </si>
  <si>
    <t>歩による死亡率の低下がその要因となっている。
　また、生産年齢人口は前回より1,344人，1.9%増加し、従属人口指数（子供や老人を養う負担の度合）も2.5ポイント増加、平成22年では51.1％となっている。老年化指数においては，74.5%で前回より13.3ポイント増加している。</t>
    <phoneticPr fontId="20"/>
  </si>
  <si>
    <t>　本市の平成22年の人口集中地区は、字勢理客から字牧港にかけての国道330号（バイパス）以西の大部分や字大平、字安波茶、字仲間、字前田、字経塚（一部）、字西原及び字当山（一部）の地区から成り立っている。
　その面積は12.07平方キロメートルで平成17年より 0.79平方キロメートル（増加率7.0％）増加し、市の総面</t>
    <rPh sb="143" eb="145">
      <t>ゾウカ</t>
    </rPh>
    <rPh sb="145" eb="146">
      <t>リツ</t>
    </rPh>
    <rPh sb="151" eb="153">
      <t>ゾウカ</t>
    </rPh>
    <phoneticPr fontId="20"/>
  </si>
  <si>
    <t>※　平成23年版より、国名にネパールを追加した。</t>
    <rPh sb="2" eb="4">
      <t>ヘイセイ</t>
    </rPh>
    <rPh sb="6" eb="7">
      <t>ネン</t>
    </rPh>
    <rPh sb="7" eb="8">
      <t>バン</t>
    </rPh>
    <rPh sb="11" eb="13">
      <t>コクメイ</t>
    </rPh>
    <rPh sb="19" eb="21">
      <t>ツイカ</t>
    </rPh>
    <phoneticPr fontId="20"/>
  </si>
  <si>
    <t>　住宅以外に住む</t>
    <rPh sb="1" eb="3">
      <t>ジュウタク</t>
    </rPh>
    <rPh sb="3" eb="5">
      <t>イガイ</t>
    </rPh>
    <rPh sb="6" eb="7">
      <t>ス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</si>
  <si>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</si>
  <si>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</si>
  <si>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上昇率</t>
    <rPh sb="0" eb="2">
      <t>ジョウショウ</t>
    </rPh>
    <rPh sb="2" eb="3">
      <t>リツ</t>
    </rPh>
    <phoneticPr fontId="20"/>
  </si>
  <si>
    <r>
      <t>Ⅱ　</t>
    </r>
    <r>
      <rPr>
        <b/>
        <sz val="14"/>
        <rFont val="ＭＳ 明朝"/>
        <family val="1"/>
        <charset val="128"/>
      </rPr>
      <t>　人　　　　口</t>
    </r>
    <phoneticPr fontId="20"/>
  </si>
  <si>
    <t>各年12月末現在</t>
    <rPh sb="0" eb="1">
      <t>カク</t>
    </rPh>
    <rPh sb="1" eb="2">
      <t>ネン</t>
    </rPh>
    <rPh sb="4" eb="5">
      <t>ガツ</t>
    </rPh>
    <rPh sb="5" eb="6">
      <t>スエ</t>
    </rPh>
    <rPh sb="6" eb="8">
      <t>ゲンザイ</t>
    </rPh>
    <phoneticPr fontId="20"/>
  </si>
  <si>
    <t>米　国</t>
    <phoneticPr fontId="20"/>
  </si>
  <si>
    <t>中　国</t>
    <phoneticPr fontId="20"/>
  </si>
  <si>
    <t>フィリピン</t>
    <phoneticPr fontId="20"/>
  </si>
  <si>
    <t>ベトナム</t>
    <phoneticPr fontId="20"/>
  </si>
  <si>
    <t>タイ</t>
    <phoneticPr fontId="20"/>
  </si>
  <si>
    <t>カナダ</t>
    <phoneticPr fontId="20"/>
  </si>
  <si>
    <t>ブラジル</t>
    <phoneticPr fontId="20"/>
  </si>
  <si>
    <t>アルゼンチン</t>
    <phoneticPr fontId="20"/>
  </si>
  <si>
    <t>ペルー</t>
    <phoneticPr fontId="20"/>
  </si>
  <si>
    <t>ボリビア</t>
    <phoneticPr fontId="20"/>
  </si>
  <si>
    <t>英国</t>
    <rPh sb="0" eb="2">
      <t>エイコク</t>
    </rPh>
    <phoneticPr fontId="20"/>
  </si>
  <si>
    <t>その他</t>
    <rPh sb="2" eb="3">
      <t>タ</t>
    </rPh>
    <phoneticPr fontId="20"/>
  </si>
  <si>
    <t>（8）  年齢階層別人口構成　（P40参照）</t>
    <rPh sb="5" eb="7">
      <t>ネンレイ</t>
    </rPh>
    <rPh sb="7" eb="10">
      <t>カイソウベツ</t>
    </rPh>
    <rPh sb="10" eb="12">
      <t>ジンコウ</t>
    </rPh>
    <rPh sb="12" eb="14">
      <t>コウセイ</t>
    </rPh>
    <rPh sb="19" eb="21">
      <t>サンショウ</t>
    </rPh>
    <phoneticPr fontId="20"/>
  </si>
  <si>
    <t>年齢階層別人口構成</t>
    <rPh sb="0" eb="2">
      <t>ネンレイ</t>
    </rPh>
    <rPh sb="2" eb="4">
      <t>カイソウ</t>
    </rPh>
    <rPh sb="4" eb="5">
      <t>ベツ</t>
    </rPh>
    <rPh sb="5" eb="7">
      <t>ジンコウ</t>
    </rPh>
    <rPh sb="7" eb="9">
      <t>コウセイ</t>
    </rPh>
    <phoneticPr fontId="20"/>
  </si>
  <si>
    <t>15歳未満</t>
    <rPh sb="2" eb="3">
      <t>サイ</t>
    </rPh>
    <rPh sb="3" eb="5">
      <t>ミマン</t>
    </rPh>
    <phoneticPr fontId="20"/>
  </si>
  <si>
    <t>15～64歳</t>
    <rPh sb="5" eb="6">
      <t>サイ</t>
    </rPh>
    <phoneticPr fontId="20"/>
  </si>
  <si>
    <t>65歳以上</t>
    <rPh sb="2" eb="3">
      <t>サイ</t>
    </rPh>
    <rPh sb="3" eb="5">
      <t>イジョウ</t>
    </rPh>
    <phoneticPr fontId="20"/>
  </si>
  <si>
    <t>（9）  人口動態の推移①　（P44参照）</t>
    <rPh sb="5" eb="7">
      <t>ジンコウ</t>
    </rPh>
    <rPh sb="7" eb="9">
      <t>ドウタイ</t>
    </rPh>
    <rPh sb="10" eb="12">
      <t>スイイ</t>
    </rPh>
    <rPh sb="18" eb="20">
      <t>サンショウ</t>
    </rPh>
    <phoneticPr fontId="20"/>
  </si>
  <si>
    <t>人口増加</t>
    <rPh sb="0" eb="2">
      <t>ジンコウ</t>
    </rPh>
    <rPh sb="2" eb="4">
      <t>ゾウカ</t>
    </rPh>
    <phoneticPr fontId="20"/>
  </si>
  <si>
    <t>自然増加</t>
    <rPh sb="0" eb="2">
      <t>シゼン</t>
    </rPh>
    <rPh sb="2" eb="4">
      <t>ゾウカ</t>
    </rPh>
    <phoneticPr fontId="20"/>
  </si>
  <si>
    <t>社会増加</t>
    <rPh sb="0" eb="2">
      <t>シャカイ</t>
    </rPh>
    <rPh sb="2" eb="4">
      <t>ゾウカ</t>
    </rPh>
    <phoneticPr fontId="20"/>
  </si>
  <si>
    <t>平成12年</t>
    <rPh sb="0" eb="2">
      <t>ヘイセイ</t>
    </rPh>
    <rPh sb="4" eb="5">
      <t>ネン</t>
    </rPh>
    <phoneticPr fontId="20"/>
  </si>
  <si>
    <t>（10）  人口動態の推移②　（P44参照）</t>
    <rPh sb="6" eb="8">
      <t>ジンコウ</t>
    </rPh>
    <rPh sb="8" eb="10">
      <t>ドウタイ</t>
    </rPh>
    <rPh sb="11" eb="13">
      <t>スイイ</t>
    </rPh>
    <rPh sb="19" eb="21">
      <t>サンショウ</t>
    </rPh>
    <phoneticPr fontId="20"/>
  </si>
  <si>
    <t>出生</t>
    <rPh sb="0" eb="2">
      <t>シュッセイ</t>
    </rPh>
    <phoneticPr fontId="20"/>
  </si>
  <si>
    <t>死亡</t>
    <rPh sb="0" eb="2">
      <t>シボウ</t>
    </rPh>
    <phoneticPr fontId="20"/>
  </si>
  <si>
    <t>転入</t>
    <rPh sb="0" eb="2">
      <t>テンニュウ</t>
    </rPh>
    <phoneticPr fontId="20"/>
  </si>
  <si>
    <t>転出</t>
    <rPh sb="0" eb="2">
      <t>テンシュツ</t>
    </rPh>
    <phoneticPr fontId="20"/>
  </si>
  <si>
    <t>（11）  国勢調査の人口の推移　（P48参照）</t>
    <rPh sb="6" eb="8">
      <t>コクセイ</t>
    </rPh>
    <rPh sb="8" eb="10">
      <t>チョウサ</t>
    </rPh>
    <rPh sb="11" eb="13">
      <t>ジンコウ</t>
    </rPh>
    <rPh sb="14" eb="16">
      <t>スイイ</t>
    </rPh>
    <rPh sb="21" eb="23">
      <t>サンショウ</t>
    </rPh>
    <phoneticPr fontId="20"/>
  </si>
  <si>
    <t>40年</t>
    <rPh sb="2" eb="3">
      <t>ネン</t>
    </rPh>
    <phoneticPr fontId="20"/>
  </si>
  <si>
    <t>45年</t>
    <rPh sb="2" eb="3">
      <t>ネン</t>
    </rPh>
    <phoneticPr fontId="20"/>
  </si>
  <si>
    <t>50年</t>
    <rPh sb="2" eb="3">
      <t>ネン</t>
    </rPh>
    <phoneticPr fontId="20"/>
  </si>
  <si>
    <t>55年</t>
    <rPh sb="2" eb="3">
      <t>ネン</t>
    </rPh>
    <phoneticPr fontId="20"/>
  </si>
  <si>
    <t>60年</t>
    <rPh sb="2" eb="3">
      <t>ネン</t>
    </rPh>
    <phoneticPr fontId="20"/>
  </si>
  <si>
    <t>平成２年</t>
    <rPh sb="0" eb="2">
      <t>ヘイセイ</t>
    </rPh>
    <rPh sb="3" eb="4">
      <t>ネン</t>
    </rPh>
    <phoneticPr fontId="20"/>
  </si>
  <si>
    <t>７年</t>
    <rPh sb="1" eb="2">
      <t>ネン</t>
    </rPh>
    <phoneticPr fontId="20"/>
  </si>
  <si>
    <t>12年</t>
    <rPh sb="2" eb="3">
      <t>ネン</t>
    </rPh>
    <phoneticPr fontId="20"/>
  </si>
  <si>
    <t>17年</t>
    <rPh sb="2" eb="3">
      <t>ネン</t>
    </rPh>
    <phoneticPr fontId="20"/>
  </si>
  <si>
    <t>　</t>
    <phoneticPr fontId="20"/>
  </si>
  <si>
    <t>（12）  人口集中地区の面積と人口　（P52・53参照）</t>
    <rPh sb="6" eb="8">
      <t>ジンコウ</t>
    </rPh>
    <rPh sb="8" eb="10">
      <t>シュウチュウ</t>
    </rPh>
    <rPh sb="10" eb="12">
      <t>チク</t>
    </rPh>
    <rPh sb="13" eb="15">
      <t>メンセキ</t>
    </rPh>
    <rPh sb="16" eb="18">
      <t>ジンコウ</t>
    </rPh>
    <rPh sb="26" eb="28">
      <t>サンショウ</t>
    </rPh>
    <phoneticPr fontId="20"/>
  </si>
  <si>
    <t>人口集中地区</t>
    <rPh sb="0" eb="2">
      <t>ジンコウ</t>
    </rPh>
    <rPh sb="2" eb="4">
      <t>シュウチュウ</t>
    </rPh>
    <rPh sb="4" eb="6">
      <t>チク</t>
    </rPh>
    <phoneticPr fontId="20"/>
  </si>
  <si>
    <t>人口集中地区外</t>
    <rPh sb="0" eb="2">
      <t>ジンコウ</t>
    </rPh>
    <rPh sb="2" eb="4">
      <t>シュウチュウ</t>
    </rPh>
    <rPh sb="4" eb="6">
      <t>チク</t>
    </rPh>
    <rPh sb="6" eb="7">
      <t>ガイ</t>
    </rPh>
    <phoneticPr fontId="20"/>
  </si>
  <si>
    <t>面積</t>
    <rPh sb="0" eb="2">
      <t>メンセキ</t>
    </rPh>
    <phoneticPr fontId="20"/>
  </si>
  <si>
    <t>人口</t>
    <rPh sb="0" eb="2">
      <t>ジンコウ</t>
    </rPh>
    <phoneticPr fontId="20"/>
  </si>
  <si>
    <t>※太線内の部分は、人口集中地区。</t>
    <rPh sb="1" eb="3">
      <t>フトセン</t>
    </rPh>
    <rPh sb="3" eb="4">
      <t>ナイ</t>
    </rPh>
    <rPh sb="5" eb="7">
      <t>ブブン</t>
    </rPh>
    <rPh sb="9" eb="11">
      <t>ジンコウ</t>
    </rPh>
    <rPh sb="11" eb="13">
      <t>シュウチュウ</t>
    </rPh>
    <rPh sb="13" eb="15">
      <t>チク</t>
    </rPh>
    <phoneticPr fontId="20"/>
  </si>
  <si>
    <t>年少人口</t>
    <rPh sb="0" eb="1">
      <t>トシ</t>
    </rPh>
    <rPh sb="1" eb="2">
      <t>ショウ</t>
    </rPh>
    <rPh sb="2" eb="3">
      <t>ヒト</t>
    </rPh>
    <rPh sb="3" eb="4">
      <t>クチ</t>
    </rPh>
    <phoneticPr fontId="20"/>
  </si>
  <si>
    <t>生産年齢人口</t>
    <rPh sb="0" eb="2">
      <t>セイサン</t>
    </rPh>
    <rPh sb="2" eb="4">
      <t>ネンレイ</t>
    </rPh>
    <rPh sb="4" eb="6">
      <t>ジンコウ</t>
    </rPh>
    <phoneticPr fontId="20"/>
  </si>
  <si>
    <t>老年人口</t>
    <rPh sb="0" eb="1">
      <t>ロウ</t>
    </rPh>
    <rPh sb="1" eb="2">
      <t>トシ</t>
    </rPh>
    <rPh sb="2" eb="3">
      <t>ヒト</t>
    </rPh>
    <rPh sb="3" eb="4">
      <t>クチ</t>
    </rPh>
    <phoneticPr fontId="20"/>
  </si>
  <si>
    <t>持ち家</t>
    <rPh sb="0" eb="1">
      <t>モ</t>
    </rPh>
    <rPh sb="2" eb="3">
      <t>イエ</t>
    </rPh>
    <phoneticPr fontId="20"/>
  </si>
  <si>
    <t>借家</t>
    <rPh sb="0" eb="2">
      <t>シャクヤ</t>
    </rPh>
    <phoneticPr fontId="20"/>
  </si>
  <si>
    <t>（注） 面積は国土交通省国土地理院「平成22年全国都道府県市区町村別面積調」による。</t>
    <rPh sb="7" eb="9">
      <t>コクド</t>
    </rPh>
    <rPh sb="9" eb="11">
      <t>コウツウ</t>
    </rPh>
    <phoneticPr fontId="20"/>
  </si>
  <si>
    <t>資料：平成22年国勢調査</t>
    <phoneticPr fontId="20"/>
  </si>
  <si>
    <t>資料：平成22年国勢調査</t>
    <phoneticPr fontId="20"/>
  </si>
  <si>
    <t>（単位：人、㎡）</t>
    <rPh sb="4" eb="5">
      <t>ヒト</t>
    </rPh>
    <phoneticPr fontId="20"/>
  </si>
  <si>
    <t>（注）延べ面積とは、各居住室の床面積のほか、その住宅に含まれる玄関、台所、</t>
    <phoneticPr fontId="20"/>
  </si>
  <si>
    <t xml:space="preserve">      廊下、便所、浴室、押し入れなども含めた床面積の合計をいう。</t>
    <phoneticPr fontId="20"/>
  </si>
  <si>
    <t xml:space="preserve">      住宅以外に住む一般世帯とは寄宿舎、老健施設等をいう。</t>
    <rPh sb="6" eb="8">
      <t>ジュウタク</t>
    </rPh>
    <rPh sb="8" eb="10">
      <t>イガイ</t>
    </rPh>
    <rPh sb="11" eb="12">
      <t>ス</t>
    </rPh>
    <rPh sb="13" eb="15">
      <t>イッパン</t>
    </rPh>
    <rPh sb="15" eb="17">
      <t>セタイ</t>
    </rPh>
    <rPh sb="19" eb="22">
      <t>キシュクシャ</t>
    </rPh>
    <rPh sb="23" eb="24">
      <t>ロウ</t>
    </rPh>
    <rPh sb="24" eb="25">
      <t>ケン</t>
    </rPh>
    <rPh sb="25" eb="28">
      <t>シセツトウ</t>
    </rPh>
    <phoneticPr fontId="20"/>
  </si>
  <si>
    <t>　　　平成22年国勢調査においては、1世帯・1人当りの延面積は把握されていない。</t>
    <rPh sb="3" eb="5">
      <t>ヘイセイ</t>
    </rPh>
    <rPh sb="7" eb="8">
      <t>ネン</t>
    </rPh>
    <rPh sb="8" eb="10">
      <t>コクセイ</t>
    </rPh>
    <rPh sb="10" eb="12">
      <t>チョウサ</t>
    </rPh>
    <rPh sb="19" eb="21">
      <t>セタイ</t>
    </rPh>
    <rPh sb="23" eb="24">
      <t>ニン</t>
    </rPh>
    <rPh sb="24" eb="25">
      <t>アタ</t>
    </rPh>
    <rPh sb="27" eb="28">
      <t>ノベ</t>
    </rPh>
    <rPh sb="28" eb="30">
      <t>メンセキ</t>
    </rPh>
    <rPh sb="31" eb="33">
      <t>ハアク</t>
    </rPh>
    <phoneticPr fontId="20"/>
  </si>
  <si>
    <t>（注）平成22年国勢調査においては、1世帯・1人当りの延面積は把握されていない。</t>
    <rPh sb="1" eb="2">
      <t>チュウ</t>
    </rPh>
    <rPh sb="3" eb="5">
      <t>ヘイセイ</t>
    </rPh>
    <rPh sb="7" eb="8">
      <t>ネン</t>
    </rPh>
    <rPh sb="8" eb="10">
      <t>コクセイ</t>
    </rPh>
    <rPh sb="10" eb="12">
      <t>チョウサ</t>
    </rPh>
    <rPh sb="19" eb="21">
      <t>セタイ</t>
    </rPh>
    <rPh sb="23" eb="24">
      <t>ニン</t>
    </rPh>
    <rPh sb="24" eb="25">
      <t>アタ</t>
    </rPh>
    <rPh sb="27" eb="28">
      <t>ノベ</t>
    </rPh>
    <rPh sb="28" eb="30">
      <t>メンセキ</t>
    </rPh>
    <rPh sb="31" eb="33">
      <t>ハアク</t>
    </rPh>
    <phoneticPr fontId="20"/>
  </si>
  <si>
    <t>する人口</t>
    <phoneticPr fontId="20"/>
  </si>
  <si>
    <t>平成15年</t>
    <rPh sb="0" eb="2">
      <t>ヘイセイ</t>
    </rPh>
    <rPh sb="4" eb="5">
      <t>ネン</t>
    </rPh>
    <phoneticPr fontId="20"/>
  </si>
  <si>
    <r>
      <t>平成</t>
    </r>
    <r>
      <rPr>
        <sz val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</si>
  <si>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t>平成</t>
    </r>
    <r>
      <rPr>
        <sz val="10"/>
        <rFont val="ＭＳ 明朝"/>
        <family val="1"/>
        <charset val="128"/>
      </rPr>
      <t>22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</si>
  <si>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t>平成</t>
    </r>
    <r>
      <rPr>
        <sz val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</t>
    </r>
    <r>
      <rPr>
        <b/>
        <sz val="10"/>
        <color indexed="9"/>
        <rFont val="ＭＳ 明朝"/>
        <family val="1"/>
        <charset val="128"/>
      </rPr>
      <t/>
    </r>
    <rPh sb="0" eb="2">
      <t>ヘイセイ</t>
    </rPh>
    <rPh sb="4" eb="5">
      <t>ネン</t>
    </rPh>
    <phoneticPr fontId="20"/>
  </si>
  <si>
    <t>平成18年</t>
    <phoneticPr fontId="20"/>
  </si>
  <si>
    <t>平成19年</t>
    <phoneticPr fontId="20"/>
  </si>
  <si>
    <t>平成20年</t>
    <phoneticPr fontId="20"/>
  </si>
  <si>
    <t>平成21年</t>
    <phoneticPr fontId="20"/>
  </si>
  <si>
    <t>平成22年</t>
    <phoneticPr fontId="20"/>
  </si>
  <si>
    <t>平成23年</t>
    <phoneticPr fontId="20"/>
  </si>
  <si>
    <t>平成24年</t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</si>
  <si>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21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</si>
  <si>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t>平成</t>
    </r>
    <r>
      <rPr>
        <sz val="10"/>
        <rFont val="ＭＳ 明朝"/>
        <family val="1"/>
        <charset val="128"/>
      </rPr>
      <t>22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</si>
  <si>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</si>
  <si>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rPr>
        <sz val="10"/>
        <color indexed="9"/>
        <rFont val="ＭＳ 明朝"/>
        <family val="1"/>
        <charset val="128"/>
      </rPr>
      <t>平成</t>
    </r>
    <r>
      <rPr>
        <b/>
        <sz val="10"/>
        <rFont val="ＭＳ 明朝"/>
        <family val="1"/>
        <charset val="128"/>
      </rPr>
      <t>24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</si>
  <si>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t>（23）  市町村別人口移動状況(平成24年１月１日～12月31日）</t>
    <phoneticPr fontId="20"/>
  </si>
  <si>
    <t>（24）  都道府県別人口移動状況（平成24年１月１日～12月31日）</t>
    <phoneticPr fontId="20"/>
  </si>
  <si>
    <t>24年１月</t>
    <phoneticPr fontId="20"/>
  </si>
  <si>
    <t>福岡県</t>
    <rPh sb="0" eb="2">
      <t>フクオカ</t>
    </rPh>
    <rPh sb="2" eb="3">
      <t>ケン</t>
    </rPh>
    <phoneticPr fontId="20"/>
  </si>
  <si>
    <t>神奈川県</t>
    <rPh sb="0" eb="3">
      <t>カナガワ</t>
    </rPh>
    <rPh sb="3" eb="4">
      <t>ケン</t>
    </rPh>
    <phoneticPr fontId="20"/>
  </si>
  <si>
    <t>千葉県</t>
    <rPh sb="0" eb="3">
      <t>チバケン</t>
    </rPh>
    <phoneticPr fontId="20"/>
  </si>
  <si>
    <t>大阪府</t>
    <rPh sb="0" eb="3">
      <t>オオサカフ</t>
    </rPh>
    <phoneticPr fontId="20"/>
  </si>
  <si>
    <t>埼玉県</t>
    <rPh sb="0" eb="2">
      <t>サイタマ</t>
    </rPh>
    <phoneticPr fontId="20"/>
  </si>
  <si>
    <t>鹿児島県</t>
    <rPh sb="0" eb="3">
      <t>カゴシマ</t>
    </rPh>
    <rPh sb="3" eb="4">
      <t>ケン</t>
    </rPh>
    <phoneticPr fontId="20"/>
  </si>
  <si>
    <t>６</t>
    <phoneticPr fontId="20"/>
  </si>
  <si>
    <t>京都府</t>
    <rPh sb="0" eb="3">
      <t>キョウトフ</t>
    </rPh>
    <phoneticPr fontId="20"/>
  </si>
  <si>
    <r>
      <t>平成</t>
    </r>
    <r>
      <rPr>
        <b/>
        <sz val="10"/>
        <color indexed="8"/>
        <rFont val="ＭＳ 明朝"/>
        <family val="1"/>
        <charset val="128"/>
      </rPr>
      <t>24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</si>
  <si>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r>
      <t>平成</t>
    </r>
    <r>
      <rPr>
        <b/>
        <sz val="10"/>
        <color indexed="8"/>
        <rFont val="ＭＳ 明朝"/>
        <family val="1"/>
        <charset val="128"/>
      </rPr>
      <t>24</t>
    </r>
    <r>
      <rPr>
        <sz val="10"/>
        <color indexed="9"/>
        <rFont val="ＭＳ 明朝"/>
        <family val="1"/>
        <charset val="128"/>
      </rPr>
      <t>年</t>
    </r>
    <r>
      <rPr>
        <b/>
        <sz val="10"/>
        <color indexed="9"/>
        <rFont val="ＭＳ 明朝"/>
        <family val="1"/>
        <charset val="128"/>
      </rPr>
      <t/>
    </r>
    <rPh sb="0" eb="2">
      <t>ヘイセイ</t>
    </rPh>
    <rPh sb="4" eb="5">
      <t>ネン</t>
    </rPh>
    <phoneticPr fontId="20"/>
  </si>
  <si>
    <r>
      <t>平成</t>
    </r>
    <r>
      <rPr>
        <sz val="10"/>
        <color indexed="8"/>
        <rFont val="ＭＳ 明朝"/>
        <family val="1"/>
        <charset val="128"/>
      </rPr>
      <t>20</t>
    </r>
    <r>
      <rPr>
        <sz val="10"/>
        <color indexed="9"/>
        <rFont val="ＭＳ 明朝"/>
        <family val="1"/>
        <charset val="128"/>
      </rPr>
      <t>年</t>
    </r>
    <rPh sb="0" eb="2">
      <t>ヘイセイ</t>
    </rPh>
    <rPh sb="4" eb="5">
      <t>ネン</t>
    </rPh>
    <phoneticPr fontId="20"/>
  </si>
  <si>
    <t>人  口（平成24年）</t>
    <phoneticPr fontId="20"/>
  </si>
  <si>
    <t>平成24年</t>
    <phoneticPr fontId="20"/>
  </si>
  <si>
    <t>安川</t>
    <phoneticPr fontId="20"/>
  </si>
  <si>
    <t xml:space="preserve">（18）  年齢（各歳）別、男女別人口（平成24年12月末日現在）                                                                  </t>
    <phoneticPr fontId="20"/>
  </si>
  <si>
    <r>
      <rPr>
        <sz val="11"/>
        <color indexed="8"/>
        <rFont val="ＭＳ Ｐゴシック"/>
        <family val="3"/>
        <charset val="128"/>
      </rPr>
      <t>平成８年</t>
    </r>
    <rPh sb="0" eb="2">
      <t>ヘイセイ</t>
    </rPh>
    <rPh sb="3" eb="4">
      <t>ネン</t>
    </rPh>
    <phoneticPr fontId="20"/>
  </si>
  <si>
    <t>（注）平成24年7月の「転入｣には、住基法改正により現住の外国人登録者の数を含む。</t>
    <rPh sb="1" eb="2">
      <t>チュウ</t>
    </rPh>
    <rPh sb="3" eb="5">
      <t>ヘイセイ</t>
    </rPh>
    <rPh sb="7" eb="8">
      <t>ネン</t>
    </rPh>
    <rPh sb="9" eb="10">
      <t>ガツ</t>
    </rPh>
    <rPh sb="12" eb="14">
      <t>テンニュウ</t>
    </rPh>
    <rPh sb="18" eb="19">
      <t>ジュウ</t>
    </rPh>
    <rPh sb="19" eb="20">
      <t>モト</t>
    </rPh>
    <rPh sb="20" eb="23">
      <t>ホウカイセイ</t>
    </rPh>
    <rPh sb="26" eb="28">
      <t>ゲンジュウ</t>
    </rPh>
    <rPh sb="29" eb="31">
      <t>ガイコク</t>
    </rPh>
    <rPh sb="31" eb="32">
      <t>ジン</t>
    </rPh>
    <rPh sb="32" eb="35">
      <t>トウロクシャ</t>
    </rPh>
    <rPh sb="36" eb="37">
      <t>カズ</t>
    </rPh>
    <rPh sb="38" eb="39">
      <t>フク</t>
    </rPh>
    <phoneticPr fontId="20"/>
  </si>
  <si>
    <t>（平成22年 国勢調査）</t>
    <rPh sb="1" eb="3">
      <t>ヘイセイ</t>
    </rPh>
    <rPh sb="5" eb="6">
      <t>ネン</t>
    </rPh>
    <rPh sb="7" eb="9">
      <t>コクセイ</t>
    </rPh>
    <rPh sb="9" eb="11">
      <t>チョウサ</t>
    </rPh>
    <phoneticPr fontId="20"/>
  </si>
  <si>
    <t>世帯数</t>
    <rPh sb="0" eb="3">
      <t>セタイスウ</t>
    </rPh>
    <phoneticPr fontId="20"/>
  </si>
  <si>
    <t>(P50参照）</t>
    <phoneticPr fontId="20"/>
  </si>
  <si>
    <t>（P54参照）</t>
    <phoneticPr fontId="20"/>
  </si>
  <si>
    <t>（15）　人口ピラミット（P50参照）</t>
    <phoneticPr fontId="20"/>
  </si>
  <si>
    <t>総数</t>
    <rPh sb="0" eb="2">
      <t>ソウスウ</t>
    </rPh>
    <phoneticPr fontId="20"/>
  </si>
  <si>
    <t>増減数</t>
    <rPh sb="0" eb="2">
      <t>ゾウゲン</t>
    </rPh>
    <rPh sb="2" eb="3">
      <t>スウ</t>
    </rPh>
    <phoneticPr fontId="20"/>
  </si>
  <si>
    <t>韓国・朝鮮</t>
    <phoneticPr fontId="20"/>
  </si>
  <si>
    <t>減</t>
  </si>
  <si>
    <t>（注）平成24年7月以降、「人口」には住基法改正による外国人登録者を含む。</t>
    <rPh sb="1" eb="2">
      <t>チュウ</t>
    </rPh>
    <rPh sb="3" eb="5">
      <t>ヘイセイ</t>
    </rPh>
    <rPh sb="7" eb="8">
      <t>ネン</t>
    </rPh>
    <rPh sb="9" eb="10">
      <t>ガツ</t>
    </rPh>
    <rPh sb="10" eb="12">
      <t>イコウ</t>
    </rPh>
    <rPh sb="14" eb="16">
      <t>ジンコウ</t>
    </rPh>
    <rPh sb="19" eb="20">
      <t>ジュウ</t>
    </rPh>
    <rPh sb="20" eb="22">
      <t>モトノリ</t>
    </rPh>
    <rPh sb="22" eb="24">
      <t>カイセイ</t>
    </rPh>
    <rPh sb="27" eb="29">
      <t>ガイコク</t>
    </rPh>
    <rPh sb="29" eb="30">
      <t>ジン</t>
    </rPh>
    <rPh sb="30" eb="33">
      <t>トウロクシャ</t>
    </rPh>
    <rPh sb="34" eb="35">
      <t>フク</t>
    </rPh>
    <phoneticPr fontId="20"/>
  </si>
  <si>
    <t>（平成22年国勢調査）</t>
    <rPh sb="1" eb="3">
      <t>ヘイセイ</t>
    </rPh>
    <rPh sb="5" eb="6">
      <t>ネン</t>
    </rPh>
    <rPh sb="6" eb="8">
      <t>コクセイ</t>
    </rPh>
    <rPh sb="8" eb="10">
      <t>チョウサ</t>
    </rPh>
    <phoneticPr fontId="20"/>
  </si>
  <si>
    <t>皆増</t>
    <rPh sb="0" eb="1">
      <t>カイ</t>
    </rPh>
    <rPh sb="1" eb="2">
      <t>ゾウ</t>
    </rPh>
    <phoneticPr fontId="20"/>
  </si>
  <si>
    <t>（14）住宅の所有関係別一般世帯（国勢調査）</t>
  </si>
  <si>
    <t>（13）年齢階層別人口の構成（国勢調査）</t>
  </si>
  <si>
    <t xml:space="preserve">  ※  人口集中地区（Ｄ・Ｉ・Ｄｓ）とは、各市町村の境域内で人口密度の高い基本単位区（人口密度１平方</t>
    <rPh sb="38" eb="40">
      <t>キホン</t>
    </rPh>
    <rPh sb="40" eb="42">
      <t>タンイ</t>
    </rPh>
    <rPh sb="42" eb="43">
      <t>ク</t>
    </rPh>
    <phoneticPr fontId="20"/>
  </si>
  <si>
    <t>　　キロメートル当り 4,000人以上）が隣接して、それが人口 5,000人以上の地域を構成する地区のことであ</t>
    <phoneticPr fontId="20"/>
  </si>
  <si>
    <t>　　る。</t>
    <phoneticPr fontId="20"/>
  </si>
</sst>
</file>

<file path=xl/styles.xml><?xml version="1.0" encoding="utf-8"?>
<styleSheet xmlns="http://schemas.openxmlformats.org/spreadsheetml/2006/main">
  <numFmts count="37">
    <numFmt numFmtId="41" formatCode="_ * #,##0_ ;_ * \-#,##0_ ;_ * &quot;-&quot;_ ;_ @_ "/>
    <numFmt numFmtId="176" formatCode="#,##0_);[Red]\(#,##0\)"/>
    <numFmt numFmtId="177" formatCode="#,##0.0_);[Red]\(#,##0.0\)"/>
    <numFmt numFmtId="178" formatCode="0.0%"/>
    <numFmt numFmtId="179" formatCode="#,##0_ "/>
    <numFmt numFmtId="180" formatCode="0.0_ "/>
    <numFmt numFmtId="181" formatCode="#,##0_ ;[Red]\-#,##0\ "/>
    <numFmt numFmtId="182" formatCode="0.00_ "/>
    <numFmt numFmtId="183" formatCode="#,##0;&quot;△&quot;#,##0"/>
    <numFmt numFmtId="184" formatCode="#,##0.0;&quot;△&quot;#,##0.0"/>
    <numFmt numFmtId="185" formatCode="0.00_);[Red]\(0.00\)"/>
    <numFmt numFmtId="186" formatCode="_ * #,##0\ ;_ * &quot;△&quot;#,##0\ ;_ * \-_ ;_ @_ "/>
    <numFmt numFmtId="187" formatCode="_ * #,##0.00\ ;_ * &quot;△&quot;#,##0.00\ ;_ * \-_ ;_ @_ "/>
    <numFmt numFmtId="188" formatCode="0;&quot;△ &quot;0"/>
    <numFmt numFmtId="189" formatCode="_ * #,##0.0_ ;_ * \-#,##0.0_ ;_ * \-?_ ;_ @_ "/>
    <numFmt numFmtId="190" formatCode="_ * #,##0_ ;_ * \-#,##0_ ;_ * \-_ ;_ @_ "/>
    <numFmt numFmtId="191" formatCode="#,##0;[Red]#,##0"/>
    <numFmt numFmtId="192" formatCode="_ * #,##0_ ;_ * \-#,##0_ ;_ @_ "/>
    <numFmt numFmtId="193" formatCode="_ * #,##0_ ;_ * &quot;△&quot;#,##0_ ;_ @_ "/>
    <numFmt numFmtId="194" formatCode="0_ "/>
    <numFmt numFmtId="195" formatCode="_ * #,##0;_ * &quot;△&quot;#,##0;_ * \-_ ;_ @_ "/>
    <numFmt numFmtId="196" formatCode="#,##0&quot;人&quot;"/>
    <numFmt numFmtId="197" formatCode="#,##0.0_ "/>
    <numFmt numFmtId="198" formatCode="#,##0_);\(#,##0\)"/>
    <numFmt numFmtId="199" formatCode="0.0;[Red]0.0"/>
    <numFmt numFmtId="200" formatCode="#,##0.00_);[Red]\(#,##0.00\)"/>
    <numFmt numFmtId="201" formatCode="_ * #,##0_ ;_ * &quot;△&quot;#,##0_ ;_ * \-_ ;_ @_ "/>
    <numFmt numFmtId="202" formatCode="#,##0.0\ ;&quot;△&quot;#,##0.0\ "/>
    <numFmt numFmtId="203" formatCode="#,##0\ ;&quot;△&quot;#,##0\ "/>
    <numFmt numFmtId="204" formatCode="_ #,##0_ ;_ &quot;△&quot;#,##0_ ;_ @_ "/>
    <numFmt numFmtId="205" formatCode="0.0_);[Red]\(0.0\)"/>
    <numFmt numFmtId="206" formatCode="_ &quot;¥&quot;* #,##0.0_ ;_ &quot;¥&quot;* \-#,##0.0_ ;_ &quot;¥&quot;* \-?_ ;_ @_ "/>
    <numFmt numFmtId="207" formatCode="0_);\(0\)"/>
    <numFmt numFmtId="208" formatCode="#,##0.0_);\(#,##0.0\)"/>
    <numFmt numFmtId="209" formatCode="#,##0.00_);\(#,##0.00\)"/>
    <numFmt numFmtId="210" formatCode="#.0&quot;%&quot;"/>
    <numFmt numFmtId="211" formatCode="\ #&quot;年&quot;"/>
  </numFmts>
  <fonts count="30"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9" fontId="19" fillId="0" borderId="0" applyFill="0" applyBorder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9" fillId="0" borderId="0">
      <alignment vertical="center"/>
    </xf>
    <xf numFmtId="0" fontId="13" fillId="0" borderId="0" applyBorder="0"/>
    <xf numFmtId="0" fontId="13" fillId="0" borderId="0" applyBorder="0"/>
  </cellStyleXfs>
  <cellXfs count="932">
    <xf numFmtId="0" fontId="0" fillId="0" borderId="0" xfId="0">
      <alignment vertical="center"/>
    </xf>
    <xf numFmtId="0" fontId="0" fillId="0" borderId="0" xfId="0" applyFont="1">
      <alignment vertical="center"/>
    </xf>
    <xf numFmtId="176" fontId="1" fillId="0" borderId="0" xfId="0" applyNumberFormat="1" applyFont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" fillId="0" borderId="5" xfId="0" applyNumberFormat="1" applyFont="1" applyBorder="1" applyAlignment="1">
      <alignment vertical="center"/>
    </xf>
    <xf numFmtId="179" fontId="1" fillId="0" borderId="0" xfId="0" applyNumberFormat="1" applyFont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76" fontId="0" fillId="0" borderId="0" xfId="0" applyNumberFormat="1" applyFill="1">
      <alignment vertical="center"/>
    </xf>
    <xf numFmtId="178" fontId="1" fillId="0" borderId="5" xfId="0" applyNumberFormat="1" applyFont="1" applyFill="1" applyBorder="1" applyAlignment="1">
      <alignment vertical="center"/>
    </xf>
    <xf numFmtId="182" fontId="1" fillId="0" borderId="5" xfId="0" applyNumberFormat="1" applyFont="1" applyFill="1" applyBorder="1" applyAlignment="1">
      <alignment vertical="center"/>
    </xf>
    <xf numFmtId="182" fontId="3" fillId="0" borderId="5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185" fontId="3" fillId="0" borderId="5" xfId="0" applyNumberFormat="1" applyFont="1" applyFill="1" applyBorder="1" applyAlignment="1">
      <alignment horizontal="right" vertical="center" indent="1"/>
    </xf>
    <xf numFmtId="176" fontId="3" fillId="0" borderId="0" xfId="0" applyNumberFormat="1" applyFont="1" applyFill="1" applyBorder="1" applyAlignment="1">
      <alignment vertical="center"/>
    </xf>
    <xf numFmtId="188" fontId="3" fillId="0" borderId="0" xfId="0" applyNumberFormat="1" applyFont="1" applyFill="1" applyBorder="1" applyAlignment="1">
      <alignment horizontal="right" vertical="center" indent="1"/>
    </xf>
    <xf numFmtId="186" fontId="1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92" fontId="1" fillId="0" borderId="0" xfId="0" applyNumberFormat="1" applyFont="1" applyFill="1" applyBorder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89" fontId="1" fillId="0" borderId="9" xfId="0" applyNumberFormat="1" applyFont="1" applyBorder="1" applyAlignment="1">
      <alignment horizontal="right" vertical="center"/>
    </xf>
    <xf numFmtId="197" fontId="1" fillId="0" borderId="9" xfId="0" applyNumberFormat="1" applyFont="1" applyBorder="1" applyAlignment="1">
      <alignment vertical="center"/>
    </xf>
    <xf numFmtId="189" fontId="1" fillId="0" borderId="0" xfId="0" applyNumberFormat="1" applyFont="1" applyBorder="1" applyAlignment="1">
      <alignment horizontal="right" vertical="center"/>
    </xf>
    <xf numFmtId="197" fontId="1" fillId="0" borderId="0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horizontal="right" vertical="center"/>
    </xf>
    <xf numFmtId="203" fontId="1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89" fontId="3" fillId="0" borderId="0" xfId="0" applyNumberFormat="1" applyFont="1" applyBorder="1" applyAlignment="1">
      <alignment horizontal="right" vertical="center"/>
    </xf>
    <xf numFmtId="197" fontId="3" fillId="0" borderId="0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203" fontId="1" fillId="0" borderId="2" xfId="0" applyNumberFormat="1" applyFont="1" applyBorder="1" applyAlignment="1">
      <alignment vertical="center"/>
    </xf>
    <xf numFmtId="203" fontId="1" fillId="0" borderId="9" xfId="0" applyNumberFormat="1" applyFont="1" applyBorder="1" applyAlignment="1">
      <alignment vertical="center"/>
    </xf>
    <xf numFmtId="203" fontId="1" fillId="0" borderId="9" xfId="0" applyNumberFormat="1" applyFont="1" applyBorder="1" applyAlignment="1">
      <alignment horizontal="right" vertical="center"/>
    </xf>
    <xf numFmtId="203" fontId="1" fillId="0" borderId="0" xfId="0" applyNumberFormat="1" applyFont="1" applyBorder="1" applyAlignment="1">
      <alignment horizontal="right" vertical="center"/>
    </xf>
    <xf numFmtId="203" fontId="1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203" fontId="3" fillId="0" borderId="5" xfId="0" applyNumberFormat="1" applyFont="1" applyBorder="1" applyAlignment="1">
      <alignment vertical="center"/>
    </xf>
    <xf numFmtId="203" fontId="3" fillId="0" borderId="0" xfId="0" applyNumberFormat="1" applyFont="1" applyBorder="1" applyAlignment="1">
      <alignment vertical="center"/>
    </xf>
    <xf numFmtId="203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201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/>
    </xf>
    <xf numFmtId="201" fontId="1" fillId="0" borderId="0" xfId="0" applyNumberFormat="1" applyFont="1" applyBorder="1" applyAlignment="1">
      <alignment horizontal="right" vertical="center"/>
    </xf>
    <xf numFmtId="201" fontId="1" fillId="0" borderId="5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0" xfId="0" applyAlignme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0" applyFont="1" applyBorder="1" applyAlignment="1">
      <alignment horizontal="justify"/>
    </xf>
    <xf numFmtId="0" fontId="1" fillId="0" borderId="12" xfId="0" applyFont="1" applyBorder="1" applyAlignment="1">
      <alignment horizontal="center" vertical="center"/>
    </xf>
    <xf numFmtId="179" fontId="1" fillId="0" borderId="13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top"/>
    </xf>
    <xf numFmtId="0" fontId="0" fillId="0" borderId="0" xfId="0" applyBorder="1" applyAlignment="1"/>
    <xf numFmtId="0" fontId="1" fillId="0" borderId="0" xfId="0" applyFont="1" applyAlignment="1">
      <alignment horizontal="right"/>
    </xf>
    <xf numFmtId="178" fontId="1" fillId="0" borderId="0" xfId="0" applyNumberFormat="1" applyFont="1" applyBorder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top" wrapText="1"/>
    </xf>
    <xf numFmtId="0" fontId="0" fillId="0" borderId="14" xfId="0" applyBorder="1" applyAlignment="1">
      <alignment vertical="center"/>
    </xf>
    <xf numFmtId="204" fontId="0" fillId="0" borderId="0" xfId="0" applyNumberFormat="1" applyBorder="1" applyAlignment="1">
      <alignment horizontal="right" vertical="center" indent="3"/>
    </xf>
    <xf numFmtId="204" fontId="2" fillId="0" borderId="0" xfId="0" applyNumberFormat="1" applyFont="1" applyBorder="1" applyAlignment="1">
      <alignment horizontal="right" vertical="center" indent="3"/>
    </xf>
    <xf numFmtId="204" fontId="13" fillId="0" borderId="0" xfId="0" applyNumberFormat="1" applyFont="1" applyBorder="1" applyAlignment="1">
      <alignment horizontal="right" vertical="center" indent="3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79" fontId="1" fillId="0" borderId="9" xfId="0" applyNumberFormat="1" applyFont="1" applyBorder="1" applyAlignment="1">
      <alignment vertical="center"/>
    </xf>
    <xf numFmtId="180" fontId="1" fillId="0" borderId="9" xfId="0" applyNumberFormat="1" applyFont="1" applyBorder="1" applyAlignment="1">
      <alignment horizontal="right" vertical="center"/>
    </xf>
    <xf numFmtId="206" fontId="1" fillId="0" borderId="9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horizontal="right" vertical="center"/>
    </xf>
    <xf numFmtId="0" fontId="9" fillId="0" borderId="0" xfId="4" applyFont="1" applyFill="1" applyAlignment="1">
      <alignment vertical="center"/>
    </xf>
    <xf numFmtId="186" fontId="3" fillId="0" borderId="0" xfId="4" applyNumberFormat="1" applyFont="1" applyFill="1" applyBorder="1" applyAlignment="1">
      <alignment vertical="center"/>
    </xf>
    <xf numFmtId="0" fontId="10" fillId="0" borderId="0" xfId="4" applyFont="1" applyFill="1" applyAlignment="1">
      <alignment vertical="center"/>
    </xf>
    <xf numFmtId="186" fontId="3" fillId="0" borderId="5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justify"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0" fontId="1" fillId="0" borderId="15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97" fontId="1" fillId="0" borderId="5" xfId="4" applyNumberFormat="1" applyFont="1" applyFill="1" applyBorder="1" applyAlignment="1">
      <alignment vertical="center"/>
    </xf>
    <xf numFmtId="197" fontId="1" fillId="0" borderId="8" xfId="4" applyNumberFormat="1" applyFont="1" applyFill="1" applyBorder="1" applyAlignment="1">
      <alignment vertical="center"/>
    </xf>
    <xf numFmtId="0" fontId="0" fillId="0" borderId="0" xfId="0" applyFill="1" applyAlignment="1">
      <alignment horizontal="left" vertical="center" indent="1"/>
    </xf>
    <xf numFmtId="0" fontId="9" fillId="0" borderId="0" xfId="0" applyFont="1" applyFill="1">
      <alignment vertical="center"/>
    </xf>
    <xf numFmtId="178" fontId="9" fillId="0" borderId="0" xfId="0" applyNumberFormat="1" applyFont="1" applyFill="1" applyAlignment="1">
      <alignment vertical="center"/>
    </xf>
    <xf numFmtId="179" fontId="3" fillId="0" borderId="5" xfId="4" applyNumberFormat="1" applyFont="1" applyFill="1" applyBorder="1" applyAlignment="1">
      <alignment vertical="center"/>
    </xf>
    <xf numFmtId="0" fontId="1" fillId="0" borderId="0" xfId="4" applyFont="1" applyFill="1" applyBorder="1" applyAlignment="1">
      <alignment horizontal="justify" vertical="center"/>
    </xf>
    <xf numFmtId="179" fontId="1" fillId="0" borderId="5" xfId="4" applyNumberFormat="1" applyFont="1" applyFill="1" applyBorder="1" applyAlignment="1">
      <alignment vertical="center"/>
    </xf>
    <xf numFmtId="194" fontId="9" fillId="0" borderId="0" xfId="4" applyNumberFormat="1" applyFont="1" applyFill="1" applyAlignment="1"/>
    <xf numFmtId="0" fontId="9" fillId="0" borderId="0" xfId="4" applyFont="1" applyFill="1" applyAlignment="1"/>
    <xf numFmtId="194" fontId="1" fillId="0" borderId="0" xfId="4" applyNumberFormat="1" applyFont="1" applyFill="1" applyBorder="1" applyAlignment="1">
      <alignment vertical="center"/>
    </xf>
    <xf numFmtId="0" fontId="9" fillId="0" borderId="0" xfId="4" applyFont="1" applyFill="1">
      <alignment vertical="center"/>
    </xf>
    <xf numFmtId="190" fontId="1" fillId="0" borderId="0" xfId="4" applyNumberFormat="1" applyFont="1" applyFill="1" applyBorder="1" applyAlignment="1">
      <alignment vertical="center"/>
    </xf>
    <xf numFmtId="178" fontId="9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9" fillId="0" borderId="0" xfId="4" applyFill="1">
      <alignment vertical="center"/>
    </xf>
    <xf numFmtId="186" fontId="1" fillId="0" borderId="0" xfId="4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78" fontId="1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9" fillId="0" borderId="19" xfId="4" applyFont="1" applyFill="1" applyBorder="1" applyAlignment="1">
      <alignment vertical="center"/>
    </xf>
    <xf numFmtId="194" fontId="1" fillId="0" borderId="20" xfId="4" applyNumberFormat="1" applyFont="1" applyFill="1" applyBorder="1" applyAlignment="1">
      <alignment vertical="center"/>
    </xf>
    <xf numFmtId="0" fontId="3" fillId="0" borderId="20" xfId="4" applyNumberFormat="1" applyFont="1" applyFill="1" applyBorder="1" applyAlignment="1">
      <alignment horizontal="justify" vertical="center"/>
    </xf>
    <xf numFmtId="179" fontId="3" fillId="0" borderId="21" xfId="4" applyNumberFormat="1" applyFont="1" applyFill="1" applyBorder="1" applyAlignment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22" xfId="2" applyNumberFormat="1" applyFont="1" applyFill="1" applyBorder="1" applyAlignment="1">
      <alignment vertical="center"/>
    </xf>
    <xf numFmtId="176" fontId="1" fillId="0" borderId="0" xfId="2" applyNumberFormat="1" applyFont="1" applyFill="1" applyBorder="1" applyAlignment="1">
      <alignment vertical="center"/>
    </xf>
    <xf numFmtId="177" fontId="1" fillId="0" borderId="0" xfId="5" applyNumberFormat="1" applyFont="1" applyFill="1" applyBorder="1" applyAlignment="1">
      <alignment vertical="center"/>
    </xf>
    <xf numFmtId="179" fontId="1" fillId="0" borderId="22" xfId="5" applyNumberFormat="1" applyFont="1" applyFill="1" applyBorder="1" applyAlignment="1">
      <alignment vertical="center"/>
    </xf>
    <xf numFmtId="179" fontId="1" fillId="0" borderId="0" xfId="5" applyNumberFormat="1" applyFont="1" applyFill="1" applyBorder="1" applyAlignment="1">
      <alignment vertical="center"/>
    </xf>
    <xf numFmtId="179" fontId="1" fillId="0" borderId="0" xfId="5" applyNumberFormat="1" applyFont="1" applyFill="1" applyBorder="1" applyAlignment="1">
      <alignment horizontal="right" vertical="center"/>
    </xf>
    <xf numFmtId="181" fontId="1" fillId="0" borderId="0" xfId="2" applyNumberFormat="1" applyFont="1" applyFill="1" applyBorder="1" applyAlignment="1">
      <alignment vertical="center"/>
    </xf>
    <xf numFmtId="0" fontId="13" fillId="0" borderId="0" xfId="5" applyFill="1" applyAlignment="1">
      <alignment vertical="center"/>
    </xf>
    <xf numFmtId="0" fontId="1" fillId="0" borderId="0" xfId="0" applyFont="1" applyBorder="1" applyAlignment="1">
      <alignment horizontal="right" vertical="center"/>
    </xf>
    <xf numFmtId="176" fontId="3" fillId="0" borderId="5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204" fontId="0" fillId="0" borderId="20" xfId="0" applyNumberFormat="1" applyBorder="1" applyAlignment="1">
      <alignment horizontal="right" vertical="center" indent="3"/>
    </xf>
    <xf numFmtId="0" fontId="1" fillId="0" borderId="24" xfId="0" applyFont="1" applyBorder="1" applyAlignment="1">
      <alignment horizontal="distributed" vertical="center"/>
    </xf>
    <xf numFmtId="0" fontId="1" fillId="0" borderId="25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76" fontId="1" fillId="0" borderId="2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7" fontId="1" fillId="0" borderId="20" xfId="0" applyNumberFormat="1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1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0" fontId="1" fillId="0" borderId="36" xfId="0" applyFont="1" applyBorder="1" applyAlignment="1">
      <alignment horizontal="justify" vertical="center" indent="1"/>
    </xf>
    <xf numFmtId="0" fontId="1" fillId="0" borderId="37" xfId="0" applyFont="1" applyBorder="1" applyAlignment="1">
      <alignment horizontal="justify" vertical="center" indent="1"/>
    </xf>
    <xf numFmtId="176" fontId="1" fillId="0" borderId="21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176" fontId="3" fillId="0" borderId="35" xfId="0" applyNumberFormat="1" applyFont="1" applyBorder="1" applyAlignment="1">
      <alignment vertical="center"/>
    </xf>
    <xf numFmtId="0" fontId="8" fillId="0" borderId="36" xfId="0" applyFont="1" applyBorder="1">
      <alignment vertical="center"/>
    </xf>
    <xf numFmtId="0" fontId="1" fillId="0" borderId="41" xfId="0" applyFont="1" applyBorder="1" applyAlignment="1">
      <alignment vertical="center"/>
    </xf>
    <xf numFmtId="190" fontId="1" fillId="0" borderId="33" xfId="0" applyNumberFormat="1" applyFont="1" applyBorder="1" applyAlignment="1">
      <alignment vertical="center" shrinkToFit="1"/>
    </xf>
    <xf numFmtId="190" fontId="1" fillId="0" borderId="19" xfId="0" applyNumberFormat="1" applyFont="1" applyBorder="1" applyAlignment="1">
      <alignment vertical="center"/>
    </xf>
    <xf numFmtId="190" fontId="3" fillId="0" borderId="19" xfId="0" applyNumberFormat="1" applyFont="1" applyBorder="1" applyAlignment="1">
      <alignment vertical="center"/>
    </xf>
    <xf numFmtId="190" fontId="1" fillId="0" borderId="36" xfId="0" applyNumberFormat="1" applyFont="1" applyBorder="1" applyAlignment="1">
      <alignment vertical="center"/>
    </xf>
    <xf numFmtId="189" fontId="1" fillId="0" borderId="20" xfId="0" applyNumberFormat="1" applyFont="1" applyBorder="1" applyAlignment="1">
      <alignment horizontal="right" vertical="center"/>
    </xf>
    <xf numFmtId="197" fontId="1" fillId="0" borderId="20" xfId="0" applyNumberFormat="1" applyFont="1" applyBorder="1" applyAlignment="1">
      <alignment vertical="center"/>
    </xf>
    <xf numFmtId="203" fontId="1" fillId="0" borderId="20" xfId="0" applyNumberFormat="1" applyFont="1" applyBorder="1" applyAlignment="1">
      <alignment vertical="center"/>
    </xf>
    <xf numFmtId="203" fontId="1" fillId="0" borderId="20" xfId="0" applyNumberFormat="1" applyFont="1" applyBorder="1" applyAlignment="1">
      <alignment horizontal="right" vertical="center"/>
    </xf>
    <xf numFmtId="203" fontId="1" fillId="0" borderId="21" xfId="0" applyNumberFormat="1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207" fontId="1" fillId="0" borderId="35" xfId="0" applyNumberFormat="1" applyFont="1" applyBorder="1" applyAlignment="1">
      <alignment horizontal="right" vertical="center"/>
    </xf>
    <xf numFmtId="207" fontId="3" fillId="0" borderId="35" xfId="0" applyNumberFormat="1" applyFont="1" applyBorder="1" applyAlignment="1">
      <alignment horizontal="right" vertical="center"/>
    </xf>
    <xf numFmtId="207" fontId="1" fillId="0" borderId="42" xfId="0" applyNumberFormat="1" applyFont="1" applyBorder="1" applyAlignment="1">
      <alignment horizontal="right" vertical="center"/>
    </xf>
    <xf numFmtId="207" fontId="1" fillId="0" borderId="9" xfId="0" applyNumberFormat="1" applyFont="1" applyBorder="1" applyAlignment="1">
      <alignment horizontal="right" vertical="center"/>
    </xf>
    <xf numFmtId="207" fontId="1" fillId="0" borderId="0" xfId="0" applyNumberFormat="1" applyFont="1" applyBorder="1" applyAlignment="1">
      <alignment horizontal="right" vertical="center"/>
    </xf>
    <xf numFmtId="207" fontId="3" fillId="0" borderId="0" xfId="0" applyNumberFormat="1" applyFont="1" applyBorder="1" applyAlignment="1">
      <alignment horizontal="right" vertical="center"/>
    </xf>
    <xf numFmtId="207" fontId="1" fillId="0" borderId="20" xfId="0" applyNumberFormat="1" applyFont="1" applyBorder="1" applyAlignment="1">
      <alignment horizontal="right" vertical="center"/>
    </xf>
    <xf numFmtId="203" fontId="1" fillId="0" borderId="43" xfId="0" applyNumberFormat="1" applyFont="1" applyBorder="1" applyAlignment="1">
      <alignment horizontal="distributed" vertical="center"/>
    </xf>
    <xf numFmtId="0" fontId="1" fillId="0" borderId="13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horizontal="right" vertical="center"/>
    </xf>
    <xf numFmtId="187" fontId="1" fillId="0" borderId="35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/>
    </xf>
    <xf numFmtId="179" fontId="1" fillId="0" borderId="19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/>
    </xf>
    <xf numFmtId="0" fontId="9" fillId="0" borderId="36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186" fontId="1" fillId="0" borderId="35" xfId="0" applyNumberFormat="1" applyFont="1" applyFill="1" applyBorder="1" applyAlignment="1">
      <alignment vertical="center"/>
    </xf>
    <xf numFmtId="192" fontId="1" fillId="0" borderId="35" xfId="0" applyNumberFormat="1" applyFont="1" applyFill="1" applyBorder="1" applyAlignment="1">
      <alignment vertical="center"/>
    </xf>
    <xf numFmtId="193" fontId="1" fillId="0" borderId="35" xfId="0" applyNumberFormat="1" applyFont="1" applyFill="1" applyBorder="1" applyAlignment="1">
      <alignment vertical="center"/>
    </xf>
    <xf numFmtId="186" fontId="3" fillId="0" borderId="35" xfId="4" applyNumberFormat="1" applyFont="1" applyFill="1" applyBorder="1" applyAlignment="1">
      <alignment vertical="center"/>
    </xf>
    <xf numFmtId="186" fontId="1" fillId="0" borderId="35" xfId="4" applyNumberFormat="1" applyFont="1" applyFill="1" applyBorder="1" applyAlignment="1">
      <alignment vertical="center"/>
    </xf>
    <xf numFmtId="186" fontId="1" fillId="0" borderId="20" xfId="4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200" fontId="1" fillId="0" borderId="5" xfId="0" applyNumberFormat="1" applyFont="1" applyFill="1" applyBorder="1" applyAlignment="1">
      <alignment vertical="center"/>
    </xf>
    <xf numFmtId="0" fontId="1" fillId="0" borderId="50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vertical="center"/>
    </xf>
    <xf numFmtId="0" fontId="1" fillId="0" borderId="36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distributed" vertical="center"/>
    </xf>
    <xf numFmtId="0" fontId="1" fillId="0" borderId="50" xfId="0" applyFont="1" applyFill="1" applyBorder="1" applyAlignment="1">
      <alignment horizontal="distributed" vertical="center"/>
    </xf>
    <xf numFmtId="0" fontId="7" fillId="0" borderId="50" xfId="0" applyFont="1" applyFill="1" applyBorder="1" applyAlignment="1">
      <alignment horizontal="distributed" vertical="center"/>
    </xf>
    <xf numFmtId="0" fontId="1" fillId="0" borderId="55" xfId="0" applyFont="1" applyFill="1" applyBorder="1" applyAlignment="1">
      <alignment horizontal="distributed" vertical="center"/>
    </xf>
    <xf numFmtId="0" fontId="3" fillId="0" borderId="50" xfId="0" applyFont="1" applyFill="1" applyBorder="1" applyAlignment="1">
      <alignment horizontal="distributed" vertical="center"/>
    </xf>
    <xf numFmtId="0" fontId="7" fillId="0" borderId="50" xfId="0" applyFont="1" applyFill="1" applyBorder="1" applyAlignment="1">
      <alignment horizontal="distributed" vertical="center" shrinkToFit="1"/>
    </xf>
    <xf numFmtId="0" fontId="1" fillId="0" borderId="56" xfId="0" applyFont="1" applyFill="1" applyBorder="1" applyAlignment="1">
      <alignment horizontal="distributed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7" fontId="3" fillId="0" borderId="35" xfId="0" applyNumberFormat="1" applyFont="1" applyFill="1" applyBorder="1" applyAlignment="1">
      <alignment vertical="center"/>
    </xf>
    <xf numFmtId="209" fontId="1" fillId="0" borderId="21" xfId="0" applyNumberFormat="1" applyFont="1" applyFill="1" applyBorder="1" applyAlignment="1">
      <alignment horizontal="right" vertical="center"/>
    </xf>
    <xf numFmtId="176" fontId="1" fillId="0" borderId="20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vertical="center"/>
    </xf>
    <xf numFmtId="49" fontId="1" fillId="0" borderId="19" xfId="0" applyNumberFormat="1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176" fontId="1" fillId="0" borderId="21" xfId="0" applyNumberFormat="1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9" fillId="0" borderId="57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57" xfId="4" applyFont="1" applyFill="1" applyBorder="1" applyAlignment="1">
      <alignment horizontal="center" vertical="center"/>
    </xf>
    <xf numFmtId="0" fontId="13" fillId="0" borderId="57" xfId="0" applyFont="1" applyFill="1" applyBorder="1">
      <alignment vertical="center"/>
    </xf>
    <xf numFmtId="0" fontId="1" fillId="0" borderId="58" xfId="0" applyFont="1" applyFill="1" applyBorder="1" applyAlignment="1">
      <alignment horizontal="center" vertical="center"/>
    </xf>
    <xf numFmtId="176" fontId="1" fillId="0" borderId="13" xfId="0" applyNumberFormat="1" applyFont="1" applyFill="1" applyBorder="1" applyAlignment="1">
      <alignment vertical="center"/>
    </xf>
    <xf numFmtId="176" fontId="1" fillId="0" borderId="37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35" xfId="0" applyFont="1" applyFill="1" applyBorder="1" applyAlignment="1">
      <alignment horizontal="center" vertical="center"/>
    </xf>
    <xf numFmtId="176" fontId="1" fillId="0" borderId="35" xfId="0" applyNumberFormat="1" applyFont="1" applyFill="1" applyBorder="1" applyAlignment="1">
      <alignment vertical="center"/>
    </xf>
    <xf numFmtId="182" fontId="1" fillId="0" borderId="35" xfId="0" applyNumberFormat="1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>
      <alignment vertical="center"/>
    </xf>
    <xf numFmtId="178" fontId="3" fillId="0" borderId="0" xfId="4" applyNumberFormat="1" applyFont="1" applyFill="1" applyBorder="1" applyAlignment="1">
      <alignment vertical="center"/>
    </xf>
    <xf numFmtId="178" fontId="1" fillId="0" borderId="0" xfId="4" applyNumberFormat="1" applyFont="1" applyFill="1" applyBorder="1" applyAlignment="1">
      <alignment vertical="center"/>
    </xf>
    <xf numFmtId="178" fontId="1" fillId="0" borderId="20" xfId="4" applyNumberFormat="1" applyFont="1" applyFill="1" applyBorder="1" applyAlignment="1">
      <alignment vertical="center"/>
    </xf>
    <xf numFmtId="179" fontId="3" fillId="0" borderId="0" xfId="4" applyNumberFormat="1" applyFont="1" applyFill="1" applyBorder="1" applyAlignment="1">
      <alignment vertical="center"/>
    </xf>
    <xf numFmtId="179" fontId="1" fillId="0" borderId="0" xfId="4" applyNumberFormat="1" applyFont="1" applyFill="1" applyBorder="1" applyAlignment="1">
      <alignment vertical="center"/>
    </xf>
    <xf numFmtId="178" fontId="3" fillId="0" borderId="9" xfId="4" applyNumberFormat="1" applyFont="1" applyFill="1" applyBorder="1" applyAlignment="1">
      <alignment vertical="center"/>
    </xf>
    <xf numFmtId="186" fontId="3" fillId="0" borderId="13" xfId="4" applyNumberFormat="1" applyFont="1" applyFill="1" applyBorder="1" applyAlignment="1">
      <alignment vertical="center"/>
    </xf>
    <xf numFmtId="186" fontId="1" fillId="0" borderId="13" xfId="4" applyNumberFormat="1" applyFont="1" applyFill="1" applyBorder="1" applyAlignment="1">
      <alignment vertical="center"/>
    </xf>
    <xf numFmtId="186" fontId="1" fillId="0" borderId="37" xfId="4" applyNumberFormat="1" applyFont="1" applyFill="1" applyBorder="1" applyAlignment="1">
      <alignment vertical="center"/>
    </xf>
    <xf numFmtId="178" fontId="3" fillId="0" borderId="20" xfId="4" applyNumberFormat="1" applyFont="1" applyFill="1" applyBorder="1" applyAlignment="1">
      <alignment vertical="center"/>
    </xf>
    <xf numFmtId="179" fontId="3" fillId="0" borderId="20" xfId="4" applyNumberFormat="1" applyFont="1" applyFill="1" applyBorder="1" applyAlignment="1">
      <alignment vertical="center"/>
    </xf>
    <xf numFmtId="178" fontId="1" fillId="0" borderId="9" xfId="4" applyNumberFormat="1" applyFont="1" applyFill="1" applyBorder="1" applyAlignment="1">
      <alignment vertical="center"/>
    </xf>
    <xf numFmtId="193" fontId="3" fillId="0" borderId="35" xfId="4" applyNumberFormat="1" applyFont="1" applyFill="1" applyBorder="1" applyAlignment="1">
      <alignment vertical="center"/>
    </xf>
    <xf numFmtId="195" fontId="1" fillId="0" borderId="35" xfId="4" applyNumberFormat="1" applyFont="1" applyFill="1" applyBorder="1" applyAlignment="1">
      <alignment vertical="center"/>
    </xf>
    <xf numFmtId="195" fontId="3" fillId="0" borderId="42" xfId="4" applyNumberFormat="1" applyFont="1" applyFill="1" applyBorder="1" applyAlignment="1">
      <alignment vertical="center"/>
    </xf>
    <xf numFmtId="0" fontId="9" fillId="0" borderId="19" xfId="4" applyFont="1" applyFill="1" applyBorder="1" applyAlignment="1">
      <alignment horizontal="distributed" vertical="center"/>
    </xf>
    <xf numFmtId="0" fontId="1" fillId="0" borderId="0" xfId="4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distributed" vertical="center"/>
    </xf>
    <xf numFmtId="0" fontId="9" fillId="0" borderId="36" xfId="4" applyFont="1" applyFill="1" applyBorder="1" applyAlignment="1">
      <alignment horizontal="distributed" vertical="center"/>
    </xf>
    <xf numFmtId="0" fontId="1" fillId="0" borderId="20" xfId="4" applyFont="1" applyFill="1" applyBorder="1" applyAlignment="1">
      <alignment horizontal="distributed" vertical="center"/>
    </xf>
    <xf numFmtId="194" fontId="3" fillId="0" borderId="0" xfId="4" applyNumberFormat="1" applyFont="1" applyFill="1" applyBorder="1" applyAlignment="1">
      <alignment horizontal="distributed" vertical="center"/>
    </xf>
    <xf numFmtId="194" fontId="1" fillId="0" borderId="0" xfId="4" applyNumberFormat="1" applyFont="1" applyFill="1" applyBorder="1" applyAlignment="1">
      <alignment horizontal="distributed" vertical="center"/>
    </xf>
    <xf numFmtId="0" fontId="0" fillId="0" borderId="19" xfId="0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197" fontId="1" fillId="0" borderId="44" xfId="4" applyNumberFormat="1" applyFont="1" applyFill="1" applyBorder="1" applyAlignment="1">
      <alignment vertical="center"/>
    </xf>
    <xf numFmtId="197" fontId="1" fillId="0" borderId="28" xfId="4" applyNumberFormat="1" applyFont="1" applyFill="1" applyBorder="1" applyAlignment="1">
      <alignment vertical="center"/>
    </xf>
    <xf numFmtId="0" fontId="19" fillId="0" borderId="19" xfId="4" applyFill="1" applyBorder="1">
      <alignment vertical="center"/>
    </xf>
    <xf numFmtId="0" fontId="19" fillId="0" borderId="26" xfId="4" applyFill="1" applyBorder="1">
      <alignment vertical="center"/>
    </xf>
    <xf numFmtId="197" fontId="1" fillId="0" borderId="23" xfId="4" applyNumberFormat="1" applyFont="1" applyFill="1" applyBorder="1" applyAlignment="1">
      <alignment vertical="center"/>
    </xf>
    <xf numFmtId="199" fontId="3" fillId="0" borderId="21" xfId="0" applyNumberFormat="1" applyFont="1" applyFill="1" applyBorder="1" applyAlignment="1">
      <alignment horizontal="center" vertical="center"/>
    </xf>
    <xf numFmtId="199" fontId="3" fillId="0" borderId="59" xfId="0" applyNumberFormat="1" applyFont="1" applyFill="1" applyBorder="1" applyAlignment="1">
      <alignment horizontal="center" vertical="center"/>
    </xf>
    <xf numFmtId="179" fontId="1" fillId="0" borderId="13" xfId="0" applyNumberFormat="1" applyFont="1" applyBorder="1" applyAlignment="1">
      <alignment horizontal="right" vertical="center"/>
    </xf>
    <xf numFmtId="179" fontId="1" fillId="0" borderId="35" xfId="0" applyNumberFormat="1" applyFont="1" applyBorder="1" applyAlignment="1">
      <alignment horizontal="right" vertical="center"/>
    </xf>
    <xf numFmtId="179" fontId="1" fillId="0" borderId="0" xfId="0" applyNumberFormat="1" applyFont="1" applyBorder="1" applyAlignment="1">
      <alignment horizontal="right" vertical="center"/>
    </xf>
    <xf numFmtId="179" fontId="3" fillId="0" borderId="37" xfId="0" applyNumberFormat="1" applyFont="1" applyBorder="1" applyAlignment="1">
      <alignment horizontal="right" vertical="center"/>
    </xf>
    <xf numFmtId="179" fontId="3" fillId="0" borderId="42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distributed" vertical="center"/>
    </xf>
    <xf numFmtId="0" fontId="1" fillId="0" borderId="19" xfId="0" applyFont="1" applyBorder="1" applyAlignment="1">
      <alignment horizontal="justify" vertical="center"/>
    </xf>
    <xf numFmtId="0" fontId="1" fillId="0" borderId="19" xfId="0" applyFont="1" applyBorder="1" applyAlignment="1">
      <alignment horizontal="distributed" vertical="center"/>
    </xf>
    <xf numFmtId="0" fontId="3" fillId="0" borderId="4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176" fontId="9" fillId="0" borderId="35" xfId="0" applyNumberFormat="1" applyFont="1" applyFill="1" applyBorder="1" applyAlignment="1">
      <alignment vertical="center"/>
    </xf>
    <xf numFmtId="0" fontId="8" fillId="0" borderId="31" xfId="0" applyFont="1" applyBorder="1" applyAlignment="1">
      <alignment vertical="center"/>
    </xf>
    <xf numFmtId="187" fontId="1" fillId="0" borderId="0" xfId="1" applyNumberFormat="1" applyFont="1" applyFill="1" applyBorder="1" applyAlignment="1" applyProtection="1">
      <alignment horizontal="right" vertical="center"/>
    </xf>
    <xf numFmtId="179" fontId="1" fillId="0" borderId="0" xfId="4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vertical="center"/>
    </xf>
    <xf numFmtId="205" fontId="1" fillId="0" borderId="35" xfId="0" applyNumberFormat="1" applyFont="1" applyBorder="1" applyAlignment="1">
      <alignment horizontal="right" vertical="center"/>
    </xf>
    <xf numFmtId="176" fontId="3" fillId="0" borderId="35" xfId="0" applyNumberFormat="1" applyFont="1" applyFill="1" applyBorder="1" applyAlignment="1">
      <alignment vertical="center"/>
    </xf>
    <xf numFmtId="176" fontId="1" fillId="0" borderId="42" xfId="0" applyNumberFormat="1" applyFont="1" applyFill="1" applyBorder="1" applyAlignment="1">
      <alignment vertical="center"/>
    </xf>
    <xf numFmtId="190" fontId="1" fillId="0" borderId="9" xfId="0" applyNumberFormat="1" applyFont="1" applyFill="1" applyBorder="1" applyAlignment="1">
      <alignment vertical="center"/>
    </xf>
    <xf numFmtId="189" fontId="1" fillId="0" borderId="9" xfId="0" applyNumberFormat="1" applyFont="1" applyFill="1" applyBorder="1" applyAlignment="1">
      <alignment vertical="center"/>
    </xf>
    <xf numFmtId="190" fontId="1" fillId="0" borderId="0" xfId="0" applyNumberFormat="1" applyFont="1" applyFill="1" applyBorder="1" applyAlignment="1">
      <alignment vertical="center"/>
    </xf>
    <xf numFmtId="189" fontId="1" fillId="0" borderId="0" xfId="0" applyNumberFormat="1" applyFont="1" applyFill="1" applyBorder="1" applyAlignment="1">
      <alignment vertical="center"/>
    </xf>
    <xf numFmtId="203" fontId="1" fillId="0" borderId="0" xfId="0" applyNumberFormat="1" applyFont="1" applyFill="1" applyBorder="1" applyAlignment="1">
      <alignment vertical="center"/>
    </xf>
    <xf numFmtId="202" fontId="1" fillId="0" borderId="0" xfId="0" applyNumberFormat="1" applyFont="1" applyFill="1" applyBorder="1" applyAlignment="1">
      <alignment vertical="center"/>
    </xf>
    <xf numFmtId="190" fontId="3" fillId="0" borderId="0" xfId="0" applyNumberFormat="1" applyFont="1" applyFill="1" applyBorder="1" applyAlignment="1">
      <alignment vertical="center"/>
    </xf>
    <xf numFmtId="186" fontId="1" fillId="0" borderId="20" xfId="0" applyNumberFormat="1" applyFont="1" applyFill="1" applyBorder="1" applyAlignment="1">
      <alignment vertical="center"/>
    </xf>
    <xf numFmtId="201" fontId="1" fillId="0" borderId="9" xfId="0" applyNumberFormat="1" applyFont="1" applyFill="1" applyBorder="1" applyAlignment="1">
      <alignment horizontal="right" vertical="center"/>
    </xf>
    <xf numFmtId="202" fontId="1" fillId="0" borderId="0" xfId="0" applyNumberFormat="1" applyFont="1" applyFill="1" applyBorder="1" applyAlignment="1">
      <alignment horizontal="right" vertical="center"/>
    </xf>
    <xf numFmtId="202" fontId="3" fillId="0" borderId="0" xfId="0" applyNumberFormat="1" applyFont="1" applyFill="1" applyBorder="1" applyAlignment="1">
      <alignment horizontal="right" vertical="center"/>
    </xf>
    <xf numFmtId="202" fontId="1" fillId="0" borderId="20" xfId="0" applyNumberFormat="1" applyFont="1" applyFill="1" applyBorder="1" applyAlignment="1">
      <alignment horizontal="right" vertical="center"/>
    </xf>
    <xf numFmtId="197" fontId="1" fillId="0" borderId="34" xfId="0" applyNumberFormat="1" applyFont="1" applyFill="1" applyBorder="1" applyAlignment="1">
      <alignment vertical="center"/>
    </xf>
    <xf numFmtId="197" fontId="1" fillId="0" borderId="35" xfId="0" applyNumberFormat="1" applyFont="1" applyFill="1" applyBorder="1" applyAlignment="1">
      <alignment vertical="center"/>
    </xf>
    <xf numFmtId="197" fontId="3" fillId="0" borderId="35" xfId="0" applyNumberFormat="1" applyFont="1" applyFill="1" applyBorder="1" applyAlignment="1">
      <alignment vertical="center"/>
    </xf>
    <xf numFmtId="197" fontId="1" fillId="0" borderId="42" xfId="0" applyNumberFormat="1" applyFont="1" applyFill="1" applyBorder="1" applyAlignment="1">
      <alignment vertical="center"/>
    </xf>
    <xf numFmtId="190" fontId="1" fillId="0" borderId="19" xfId="0" applyNumberFormat="1" applyFont="1" applyBorder="1" applyAlignment="1">
      <alignment horizontal="right" vertical="center"/>
    </xf>
    <xf numFmtId="190" fontId="1" fillId="0" borderId="0" xfId="0" applyNumberFormat="1" applyFont="1" applyBorder="1" applyAlignment="1">
      <alignment horizontal="right" vertical="center"/>
    </xf>
    <xf numFmtId="205" fontId="1" fillId="0" borderId="0" xfId="0" applyNumberFormat="1" applyFont="1" applyBorder="1" applyAlignment="1">
      <alignment horizontal="right" vertical="center"/>
    </xf>
    <xf numFmtId="203" fontId="1" fillId="0" borderId="0" xfId="0" applyNumberFormat="1" applyFont="1" applyFill="1" applyBorder="1" applyAlignment="1">
      <alignment horizontal="right" vertical="center"/>
    </xf>
    <xf numFmtId="203" fontId="3" fillId="0" borderId="0" xfId="0" applyNumberFormat="1" applyFont="1" applyFill="1" applyBorder="1" applyAlignment="1">
      <alignment horizontal="right" vertical="center"/>
    </xf>
    <xf numFmtId="203" fontId="1" fillId="0" borderId="20" xfId="0" applyNumberFormat="1" applyFont="1" applyFill="1" applyBorder="1" applyAlignment="1">
      <alignment horizontal="right" vertical="center"/>
    </xf>
    <xf numFmtId="197" fontId="8" fillId="0" borderId="0" xfId="0" applyNumberFormat="1" applyFont="1">
      <alignment vertical="center"/>
    </xf>
    <xf numFmtId="200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41" fontId="1" fillId="0" borderId="0" xfId="0" applyNumberFormat="1" applyFont="1" applyFill="1" applyBorder="1" applyAlignment="1">
      <alignment horizontal="right" vertical="center" shrinkToFit="1"/>
    </xf>
    <xf numFmtId="179" fontId="0" fillId="0" borderId="0" xfId="0" applyNumberFormat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80" fontId="1" fillId="0" borderId="35" xfId="0" applyNumberFormat="1" applyFont="1" applyFill="1" applyBorder="1" applyAlignment="1">
      <alignment vertical="center"/>
    </xf>
    <xf numFmtId="206" fontId="1" fillId="0" borderId="0" xfId="0" applyNumberFormat="1" applyFont="1" applyFill="1" applyBorder="1" applyAlignment="1">
      <alignment horizontal="right" vertical="center"/>
    </xf>
    <xf numFmtId="206" fontId="1" fillId="0" borderId="35" xfId="0" applyNumberFormat="1" applyFont="1" applyFill="1" applyBorder="1" applyAlignment="1">
      <alignment horizontal="right" vertical="center"/>
    </xf>
    <xf numFmtId="206" fontId="1" fillId="0" borderId="20" xfId="0" applyNumberFormat="1" applyFont="1" applyFill="1" applyBorder="1" applyAlignment="1">
      <alignment horizontal="right" vertical="center"/>
    </xf>
    <xf numFmtId="206" fontId="1" fillId="0" borderId="42" xfId="0" applyNumberFormat="1" applyFont="1" applyFill="1" applyBorder="1" applyAlignment="1">
      <alignment horizontal="right" vertical="center"/>
    </xf>
    <xf numFmtId="206" fontId="1" fillId="0" borderId="9" xfId="0" applyNumberFormat="1" applyFont="1" applyFill="1" applyBorder="1" applyAlignment="1">
      <alignment horizontal="right" vertical="center"/>
    </xf>
    <xf numFmtId="206" fontId="1" fillId="0" borderId="34" xfId="0" applyNumberFormat="1" applyFont="1" applyFill="1" applyBorder="1" applyAlignment="1">
      <alignment horizontal="right" vertical="center"/>
    </xf>
    <xf numFmtId="180" fontId="1" fillId="0" borderId="0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vertical="center" wrapText="1"/>
    </xf>
    <xf numFmtId="176" fontId="3" fillId="0" borderId="9" xfId="0" applyNumberFormat="1" applyFont="1" applyBorder="1" applyAlignment="1">
      <alignment horizontal="right" vertical="center"/>
    </xf>
    <xf numFmtId="176" fontId="3" fillId="0" borderId="34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 shrinkToFit="1"/>
    </xf>
    <xf numFmtId="176" fontId="1" fillId="0" borderId="20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vertical="center" shrinkToFit="1"/>
    </xf>
    <xf numFmtId="176" fontId="1" fillId="0" borderId="9" xfId="0" applyNumberFormat="1" applyFont="1" applyBorder="1" applyAlignment="1">
      <alignment vertical="center" shrinkToFit="1"/>
    </xf>
    <xf numFmtId="176" fontId="1" fillId="0" borderId="34" xfId="0" applyNumberFormat="1" applyFont="1" applyBorder="1" applyAlignment="1">
      <alignment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0" xfId="0" applyNumberFormat="1" applyFont="1" applyBorder="1" applyAlignment="1">
      <alignment vertical="center" shrinkToFit="1"/>
    </xf>
    <xf numFmtId="176" fontId="1" fillId="0" borderId="3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6" fontId="3" fillId="0" borderId="35" xfId="0" applyNumberFormat="1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vertical="center" shrinkToFit="1"/>
    </xf>
    <xf numFmtId="176" fontId="1" fillId="0" borderId="35" xfId="0" applyNumberFormat="1" applyFont="1" applyFill="1" applyBorder="1" applyAlignment="1">
      <alignment horizontal="right" vertical="center" shrinkToFit="1"/>
    </xf>
    <xf numFmtId="176" fontId="1" fillId="0" borderId="35" xfId="0" applyNumberFormat="1" applyFont="1" applyFill="1" applyBorder="1" applyAlignment="1">
      <alignment vertical="center" shrinkToFit="1"/>
    </xf>
    <xf numFmtId="176" fontId="1" fillId="0" borderId="21" xfId="0" applyNumberFormat="1" applyFont="1" applyBorder="1" applyAlignment="1">
      <alignment vertical="center" shrinkToFit="1"/>
    </xf>
    <xf numFmtId="176" fontId="1" fillId="0" borderId="20" xfId="0" applyNumberFormat="1" applyFont="1" applyBorder="1" applyAlignment="1">
      <alignment vertical="center" shrinkToFit="1"/>
    </xf>
    <xf numFmtId="176" fontId="1" fillId="0" borderId="20" xfId="0" applyNumberFormat="1" applyFont="1" applyFill="1" applyBorder="1" applyAlignment="1">
      <alignment vertical="center" shrinkToFit="1"/>
    </xf>
    <xf numFmtId="176" fontId="1" fillId="0" borderId="42" xfId="0" applyNumberFormat="1" applyFont="1" applyFill="1" applyBorder="1" applyAlignment="1">
      <alignment vertical="center" shrinkToFit="1"/>
    </xf>
    <xf numFmtId="180" fontId="1" fillId="0" borderId="35" xfId="0" applyNumberFormat="1" applyFont="1" applyBorder="1" applyAlignment="1">
      <alignment horizontal="right" vertical="center"/>
    </xf>
    <xf numFmtId="0" fontId="1" fillId="0" borderId="60" xfId="0" applyFont="1" applyBorder="1" applyAlignment="1">
      <alignment horizontal="center" vertical="center"/>
    </xf>
    <xf numFmtId="203" fontId="1" fillId="0" borderId="0" xfId="0" applyNumberFormat="1" applyFont="1" applyBorder="1" applyAlignment="1">
      <alignment horizontal="justify" vertical="center"/>
    </xf>
    <xf numFmtId="41" fontId="1" fillId="0" borderId="0" xfId="0" applyNumberFormat="1" applyFont="1" applyBorder="1" applyAlignment="1">
      <alignment vertical="center" shrinkToFit="1"/>
    </xf>
    <xf numFmtId="41" fontId="1" fillId="0" borderId="0" xfId="0" applyNumberFormat="1" applyFont="1" applyBorder="1" applyAlignment="1">
      <alignment horizontal="right" vertical="center" shrinkToFit="1"/>
    </xf>
    <xf numFmtId="0" fontId="1" fillId="0" borderId="25" xfId="0" applyFont="1" applyFill="1" applyBorder="1" applyAlignment="1">
      <alignment vertical="center" shrinkToFit="1"/>
    </xf>
    <xf numFmtId="0" fontId="15" fillId="0" borderId="0" xfId="6" applyFont="1" applyAlignment="1">
      <alignment horizontal="centerContinuous" vertical="center"/>
    </xf>
    <xf numFmtId="0" fontId="13" fillId="0" borderId="0" xfId="6" applyAlignment="1">
      <alignment horizontal="centerContinuous"/>
    </xf>
    <xf numFmtId="0" fontId="13" fillId="0" borderId="0" xfId="6"/>
    <xf numFmtId="0" fontId="17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13" fillId="0" borderId="38" xfId="6" applyBorder="1"/>
    <xf numFmtId="0" fontId="13" fillId="0" borderId="38" xfId="6" applyBorder="1" applyAlignment="1">
      <alignment horizontal="center"/>
    </xf>
    <xf numFmtId="176" fontId="1" fillId="0" borderId="38" xfId="6" applyNumberFormat="1" applyFont="1" applyBorder="1" applyAlignment="1">
      <alignment vertical="center"/>
    </xf>
    <xf numFmtId="0" fontId="9" fillId="0" borderId="38" xfId="6" applyFont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0" fontId="13" fillId="0" borderId="0" xfId="6" applyBorder="1"/>
    <xf numFmtId="0" fontId="1" fillId="0" borderId="38" xfId="6" applyFont="1" applyBorder="1" applyAlignment="1">
      <alignment horizontal="center" vertical="center"/>
    </xf>
    <xf numFmtId="0" fontId="1" fillId="0" borderId="0" xfId="6" applyFont="1" applyBorder="1" applyAlignment="1">
      <alignment horizontal="center" vertical="center"/>
    </xf>
    <xf numFmtId="191" fontId="3" fillId="0" borderId="0" xfId="6" applyNumberFormat="1" applyFont="1" applyBorder="1" applyAlignment="1">
      <alignment horizontal="right" vertical="center" indent="1"/>
    </xf>
    <xf numFmtId="0" fontId="9" fillId="0" borderId="0" xfId="6" applyFont="1"/>
    <xf numFmtId="0" fontId="8" fillId="0" borderId="38" xfId="6" applyFont="1" applyBorder="1"/>
    <xf numFmtId="38" fontId="13" fillId="0" borderId="0" xfId="6" applyNumberFormat="1"/>
    <xf numFmtId="176" fontId="1" fillId="0" borderId="0" xfId="6" applyNumberFormat="1" applyFont="1" applyBorder="1" applyAlignment="1">
      <alignment vertical="center"/>
    </xf>
    <xf numFmtId="176" fontId="1" fillId="0" borderId="38" xfId="6" applyNumberFormat="1" applyFont="1" applyFill="1" applyBorder="1" applyAlignment="1">
      <alignment vertical="center"/>
    </xf>
    <xf numFmtId="0" fontId="13" fillId="0" borderId="38" xfId="6" applyBorder="1" applyAlignment="1">
      <alignment vertical="center"/>
    </xf>
    <xf numFmtId="0" fontId="1" fillId="0" borderId="38" xfId="6" applyFont="1" applyBorder="1" applyAlignment="1">
      <alignment horizontal="left" vertical="center"/>
    </xf>
    <xf numFmtId="38" fontId="8" fillId="0" borderId="38" xfId="3" applyFont="1" applyBorder="1"/>
    <xf numFmtId="176" fontId="1" fillId="0" borderId="38" xfId="4" applyNumberFormat="1" applyFont="1" applyFill="1" applyBorder="1" applyAlignment="1">
      <alignment vertical="center"/>
    </xf>
    <xf numFmtId="49" fontId="1" fillId="0" borderId="0" xfId="6" applyNumberFormat="1" applyFont="1"/>
    <xf numFmtId="0" fontId="1" fillId="0" borderId="38" xfId="6" applyFont="1" applyBorder="1"/>
    <xf numFmtId="0" fontId="1" fillId="0" borderId="38" xfId="6" applyNumberFormat="1" applyFont="1" applyBorder="1" applyAlignment="1">
      <alignment horizontal="center"/>
    </xf>
    <xf numFmtId="0" fontId="1" fillId="0" borderId="0" xfId="6" applyFont="1"/>
    <xf numFmtId="0" fontId="1" fillId="0" borderId="0" xfId="6" applyFont="1" applyFill="1"/>
    <xf numFmtId="38" fontId="1" fillId="0" borderId="38" xfId="6" applyNumberFormat="1" applyFont="1" applyBorder="1"/>
    <xf numFmtId="203" fontId="1" fillId="0" borderId="9" xfId="0" applyNumberFormat="1" applyFont="1" applyFill="1" applyBorder="1" applyAlignment="1">
      <alignment vertical="center"/>
    </xf>
    <xf numFmtId="203" fontId="1" fillId="0" borderId="20" xfId="0" applyNumberFormat="1" applyFont="1" applyFill="1" applyBorder="1" applyAlignment="1">
      <alignment vertical="center"/>
    </xf>
    <xf numFmtId="0" fontId="1" fillId="0" borderId="35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1" fillId="0" borderId="42" xfId="0" applyFont="1" applyFill="1" applyBorder="1" applyAlignment="1">
      <alignment horizontal="right" vertical="center"/>
    </xf>
    <xf numFmtId="179" fontId="1" fillId="0" borderId="38" xfId="6" applyNumberFormat="1" applyFont="1" applyBorder="1" applyAlignment="1">
      <alignment vertical="center"/>
    </xf>
    <xf numFmtId="179" fontId="1" fillId="0" borderId="38" xfId="6" applyNumberFormat="1" applyFont="1" applyFill="1" applyBorder="1" applyAlignment="1">
      <alignment vertical="center"/>
    </xf>
    <xf numFmtId="194" fontId="1" fillId="0" borderId="38" xfId="4" applyNumberFormat="1" applyFont="1" applyFill="1" applyBorder="1" applyAlignment="1">
      <alignment vertical="center"/>
    </xf>
    <xf numFmtId="186" fontId="1" fillId="0" borderId="38" xfId="4" applyNumberFormat="1" applyFont="1" applyFill="1" applyBorder="1" applyAlignment="1">
      <alignment vertical="center"/>
    </xf>
    <xf numFmtId="0" fontId="8" fillId="0" borderId="38" xfId="6" applyFont="1" applyBorder="1" applyAlignment="1">
      <alignment horizontal="center"/>
    </xf>
    <xf numFmtId="0" fontId="8" fillId="0" borderId="38" xfId="6" quotePrefix="1" applyFont="1" applyBorder="1" applyAlignment="1">
      <alignment horizontal="center"/>
    </xf>
    <xf numFmtId="0" fontId="1" fillId="0" borderId="38" xfId="6" applyFont="1" applyBorder="1" applyAlignment="1">
      <alignment horizontal="center"/>
    </xf>
    <xf numFmtId="0" fontId="1" fillId="0" borderId="61" xfId="6" applyFont="1" applyBorder="1" applyAlignment="1">
      <alignment horizontal="center"/>
    </xf>
    <xf numFmtId="0" fontId="1" fillId="0" borderId="61" xfId="6" quotePrefix="1" applyFont="1" applyBorder="1" applyAlignment="1">
      <alignment horizontal="center"/>
    </xf>
    <xf numFmtId="176" fontId="1" fillId="0" borderId="38" xfId="0" applyNumberFormat="1" applyFont="1" applyFill="1" applyBorder="1" applyAlignment="1">
      <alignment horizontal="right" vertical="center"/>
    </xf>
    <xf numFmtId="201" fontId="1" fillId="0" borderId="38" xfId="0" applyNumberFormat="1" applyFont="1" applyBorder="1" applyAlignment="1">
      <alignment horizontal="right" vertical="center"/>
    </xf>
    <xf numFmtId="185" fontId="1" fillId="0" borderId="38" xfId="0" applyNumberFormat="1" applyFont="1" applyFill="1" applyBorder="1" applyAlignment="1">
      <alignment horizontal="right" vertical="center"/>
    </xf>
    <xf numFmtId="185" fontId="1" fillId="0" borderId="38" xfId="6" applyNumberFormat="1" applyFont="1" applyBorder="1"/>
    <xf numFmtId="0" fontId="18" fillId="0" borderId="0" xfId="6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1" fillId="0" borderId="57" xfId="0" applyFont="1" applyBorder="1" applyAlignment="1">
      <alignment horizontal="justify" vertical="center"/>
    </xf>
    <xf numFmtId="176" fontId="1" fillId="0" borderId="0" xfId="0" applyNumberFormat="1" applyFont="1" applyBorder="1">
      <alignment vertical="center"/>
    </xf>
    <xf numFmtId="176" fontId="1" fillId="0" borderId="35" xfId="0" applyNumberFormat="1" applyFont="1" applyBorder="1">
      <alignment vertical="center"/>
    </xf>
    <xf numFmtId="198" fontId="1" fillId="0" borderId="35" xfId="0" applyNumberFormat="1" applyFont="1" applyBorder="1" applyAlignment="1">
      <alignment vertical="center"/>
    </xf>
    <xf numFmtId="198" fontId="1" fillId="0" borderId="42" xfId="0" applyNumberFormat="1" applyFont="1" applyBorder="1" applyAlignment="1">
      <alignment vertical="center"/>
    </xf>
    <xf numFmtId="198" fontId="25" fillId="0" borderId="35" xfId="0" applyNumberFormat="1" applyFont="1" applyBorder="1" applyAlignment="1">
      <alignment vertical="center"/>
    </xf>
    <xf numFmtId="176" fontId="0" fillId="0" borderId="0" xfId="0" applyNumberFormat="1" applyBorder="1" applyAlignment="1">
      <alignment horizontal="right" vertical="center"/>
    </xf>
    <xf numFmtId="41" fontId="1" fillId="0" borderId="35" xfId="0" applyNumberFormat="1" applyFont="1" applyBorder="1" applyAlignment="1">
      <alignment horizontal="right" vertical="center" shrinkToFit="1"/>
    </xf>
    <xf numFmtId="41" fontId="1" fillId="0" borderId="0" xfId="0" applyNumberFormat="1" applyFont="1" applyBorder="1" applyAlignment="1">
      <alignment horizontal="right" vertical="center"/>
    </xf>
    <xf numFmtId="41" fontId="1" fillId="0" borderId="20" xfId="0" applyNumberFormat="1" applyFont="1" applyBorder="1" applyAlignment="1">
      <alignment horizontal="right" vertical="center"/>
    </xf>
    <xf numFmtId="41" fontId="1" fillId="0" borderId="3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" fillId="0" borderId="61" xfId="0" applyFont="1" applyBorder="1" applyAlignment="1">
      <alignment vertical="center"/>
    </xf>
    <xf numFmtId="181" fontId="1" fillId="0" borderId="22" xfId="2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1" fillId="0" borderId="0" xfId="4" applyNumberFormat="1" applyFont="1" applyFill="1" applyBorder="1" applyAlignment="1">
      <alignment vertical="center"/>
    </xf>
    <xf numFmtId="176" fontId="1" fillId="0" borderId="20" xfId="4" applyNumberFormat="1" applyFont="1" applyFill="1" applyBorder="1" applyAlignment="1">
      <alignment vertical="center"/>
    </xf>
    <xf numFmtId="49" fontId="27" fillId="0" borderId="19" xfId="4" applyNumberFormat="1" applyFont="1" applyFill="1" applyBorder="1" applyAlignment="1">
      <alignment vertical="center"/>
    </xf>
    <xf numFmtId="49" fontId="27" fillId="0" borderId="13" xfId="4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vertical="center"/>
    </xf>
    <xf numFmtId="0" fontId="21" fillId="0" borderId="0" xfId="5" applyFont="1" applyFill="1" applyAlignment="1">
      <alignment horizontal="centerContinuous" vertical="center"/>
    </xf>
    <xf numFmtId="0" fontId="13" fillId="0" borderId="0" xfId="5" applyFill="1" applyAlignment="1">
      <alignment horizontal="centerContinuous" vertical="center"/>
    </xf>
    <xf numFmtId="0" fontId="13" fillId="0" borderId="0" xfId="5" applyFill="1"/>
    <xf numFmtId="0" fontId="1" fillId="0" borderId="0" xfId="5" applyFont="1" applyFill="1" applyAlignment="1">
      <alignment vertical="center"/>
    </xf>
    <xf numFmtId="0" fontId="1" fillId="0" borderId="0" xfId="5" applyFont="1" applyFill="1" applyAlignment="1">
      <alignment horizontal="right" vertical="center"/>
    </xf>
    <xf numFmtId="0" fontId="1" fillId="0" borderId="62" xfId="5" applyFont="1" applyFill="1" applyBorder="1" applyAlignment="1">
      <alignment horizontal="center" vertical="center"/>
    </xf>
    <xf numFmtId="0" fontId="1" fillId="0" borderId="63" xfId="5" applyFont="1" applyFill="1" applyBorder="1" applyAlignment="1">
      <alignment horizontal="center" vertical="center"/>
    </xf>
    <xf numFmtId="0" fontId="1" fillId="0" borderId="38" xfId="5" applyFont="1" applyFill="1" applyBorder="1" applyAlignment="1">
      <alignment horizontal="center" vertical="center"/>
    </xf>
    <xf numFmtId="0" fontId="1" fillId="0" borderId="61" xfId="5" applyFont="1" applyFill="1" applyBorder="1" applyAlignment="1">
      <alignment horizontal="center" vertical="center"/>
    </xf>
    <xf numFmtId="0" fontId="1" fillId="0" borderId="64" xfId="5" applyFont="1" applyFill="1" applyBorder="1" applyAlignment="1">
      <alignment horizontal="center" vertical="center"/>
    </xf>
    <xf numFmtId="0" fontId="13" fillId="0" borderId="0" xfId="5" applyFill="1" applyBorder="1"/>
    <xf numFmtId="0" fontId="4" fillId="0" borderId="64" xfId="5" applyFont="1" applyFill="1" applyBorder="1" applyAlignment="1">
      <alignment horizontal="center" vertical="center"/>
    </xf>
    <xf numFmtId="176" fontId="1" fillId="0" borderId="22" xfId="5" applyNumberFormat="1" applyFont="1" applyFill="1" applyBorder="1" applyAlignment="1">
      <alignment vertical="center"/>
    </xf>
    <xf numFmtId="0" fontId="13" fillId="0" borderId="0" xfId="5" applyFont="1" applyFill="1"/>
    <xf numFmtId="0" fontId="13" fillId="0" borderId="0" xfId="5" applyFont="1" applyFill="1" applyBorder="1"/>
    <xf numFmtId="176" fontId="3" fillId="0" borderId="65" xfId="2" applyNumberFormat="1" applyFont="1" applyFill="1" applyBorder="1" applyAlignment="1">
      <alignment vertical="center"/>
    </xf>
    <xf numFmtId="176" fontId="3" fillId="0" borderId="20" xfId="2" applyNumberFormat="1" applyFont="1" applyFill="1" applyBorder="1" applyAlignment="1">
      <alignment vertical="center"/>
    </xf>
    <xf numFmtId="177" fontId="3" fillId="0" borderId="20" xfId="5" applyNumberFormat="1" applyFont="1" applyFill="1" applyBorder="1" applyAlignment="1">
      <alignment vertical="center"/>
    </xf>
    <xf numFmtId="0" fontId="1" fillId="0" borderId="0" xfId="5" applyFont="1" applyFill="1"/>
    <xf numFmtId="178" fontId="1" fillId="0" borderId="0" xfId="5" applyNumberFormat="1" applyFont="1" applyFill="1" applyBorder="1" applyAlignment="1">
      <alignment vertical="center"/>
    </xf>
    <xf numFmtId="0" fontId="4" fillId="0" borderId="66" xfId="5" applyFont="1" applyFill="1" applyBorder="1" applyAlignment="1">
      <alignment horizontal="center" vertical="center"/>
    </xf>
    <xf numFmtId="178" fontId="13" fillId="0" borderId="0" xfId="5" applyNumberFormat="1" applyFill="1"/>
    <xf numFmtId="0" fontId="1" fillId="0" borderId="67" xfId="5" applyFont="1" applyFill="1" applyBorder="1" applyAlignment="1">
      <alignment horizontal="center" vertical="center"/>
    </xf>
    <xf numFmtId="0" fontId="1" fillId="0" borderId="19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181" fontId="3" fillId="0" borderId="20" xfId="2" applyNumberFormat="1" applyFont="1" applyFill="1" applyBorder="1" applyAlignment="1">
      <alignment vertical="center"/>
    </xf>
    <xf numFmtId="179" fontId="3" fillId="0" borderId="20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vertical="center"/>
    </xf>
    <xf numFmtId="198" fontId="1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178" fontId="1" fillId="0" borderId="35" xfId="0" applyNumberFormat="1" applyFont="1" applyFill="1" applyBorder="1" applyAlignment="1">
      <alignment vertical="center"/>
    </xf>
    <xf numFmtId="182" fontId="3" fillId="0" borderId="0" xfId="0" applyNumberFormat="1" applyFont="1" applyFill="1" applyBorder="1" applyAlignment="1">
      <alignment vertical="center"/>
    </xf>
    <xf numFmtId="182" fontId="3" fillId="0" borderId="35" xfId="0" applyNumberFormat="1" applyFont="1" applyFill="1" applyBorder="1" applyAlignment="1">
      <alignment vertical="center"/>
    </xf>
    <xf numFmtId="3" fontId="24" fillId="0" borderId="0" xfId="0" applyNumberFormat="1" applyFont="1" applyFill="1">
      <alignment vertical="center"/>
    </xf>
    <xf numFmtId="3" fontId="0" fillId="0" borderId="0" xfId="0" applyNumberFormat="1" applyFill="1">
      <alignment vertical="center"/>
    </xf>
    <xf numFmtId="0" fontId="1" fillId="0" borderId="68" xfId="0" applyFont="1" applyFill="1" applyBorder="1" applyAlignment="1">
      <alignment horizontal="center" vertical="center"/>
    </xf>
    <xf numFmtId="176" fontId="28" fillId="0" borderId="2" xfId="0" applyNumberFormat="1" applyFont="1" applyFill="1" applyBorder="1">
      <alignment vertical="center"/>
    </xf>
    <xf numFmtId="176" fontId="28" fillId="0" borderId="9" xfId="0" applyNumberFormat="1" applyFont="1" applyFill="1" applyBorder="1">
      <alignment vertical="center"/>
    </xf>
    <xf numFmtId="186" fontId="6" fillId="0" borderId="9" xfId="0" applyNumberFormat="1" applyFont="1" applyFill="1" applyBorder="1">
      <alignment vertical="center"/>
    </xf>
    <xf numFmtId="208" fontId="28" fillId="0" borderId="34" xfId="0" applyNumberFormat="1" applyFont="1" applyFill="1" applyBorder="1">
      <alignment vertical="center"/>
    </xf>
    <xf numFmtId="176" fontId="28" fillId="0" borderId="0" xfId="0" applyNumberFormat="1" applyFont="1" applyFill="1" applyBorder="1">
      <alignment vertical="center"/>
    </xf>
    <xf numFmtId="186" fontId="28" fillId="0" borderId="0" xfId="0" applyNumberFormat="1" applyFont="1" applyFill="1" applyBorder="1">
      <alignment vertical="center"/>
    </xf>
    <xf numFmtId="208" fontId="28" fillId="0" borderId="35" xfId="0" applyNumberFormat="1" applyFont="1" applyFill="1" applyBorder="1">
      <alignment vertical="center"/>
    </xf>
    <xf numFmtId="176" fontId="24" fillId="0" borderId="0" xfId="0" applyNumberFormat="1" applyFont="1" applyFill="1" applyBorder="1">
      <alignment vertical="center"/>
    </xf>
    <xf numFmtId="186" fontId="24" fillId="0" borderId="0" xfId="0" applyNumberFormat="1" applyFont="1" applyFill="1" applyBorder="1">
      <alignment vertical="center"/>
    </xf>
    <xf numFmtId="208" fontId="24" fillId="0" borderId="35" xfId="0" applyNumberFormat="1" applyFont="1" applyFill="1" applyBorder="1">
      <alignment vertical="center"/>
    </xf>
    <xf numFmtId="176" fontId="24" fillId="0" borderId="20" xfId="0" applyNumberFormat="1" applyFont="1" applyFill="1" applyBorder="1">
      <alignment vertical="center"/>
    </xf>
    <xf numFmtId="186" fontId="24" fillId="0" borderId="20" xfId="0" applyNumberFormat="1" applyFont="1" applyFill="1" applyBorder="1">
      <alignment vertical="center"/>
    </xf>
    <xf numFmtId="208" fontId="24" fillId="0" borderId="42" xfId="0" applyNumberFormat="1" applyFont="1" applyFill="1" applyBorder="1">
      <alignment vertical="center"/>
    </xf>
    <xf numFmtId="183" fontId="0" fillId="0" borderId="0" xfId="0" applyNumberFormat="1" applyFill="1" applyAlignment="1">
      <alignment horizontal="right" vertical="center"/>
    </xf>
    <xf numFmtId="177" fontId="1" fillId="0" borderId="23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vertical="center"/>
    </xf>
    <xf numFmtId="186" fontId="6" fillId="0" borderId="9" xfId="0" applyNumberFormat="1" applyFont="1" applyFill="1" applyBorder="1" applyAlignment="1">
      <alignment horizontal="right" vertical="center"/>
    </xf>
    <xf numFmtId="187" fontId="3" fillId="0" borderId="0" xfId="1" applyNumberFormat="1" applyFont="1" applyFill="1" applyBorder="1" applyAlignment="1" applyProtection="1">
      <alignment horizontal="right" vertical="center"/>
    </xf>
    <xf numFmtId="10" fontId="19" fillId="0" borderId="0" xfId="1" applyNumberFormat="1" applyFill="1" applyBorder="1">
      <alignment vertical="center"/>
    </xf>
    <xf numFmtId="0" fontId="3" fillId="0" borderId="25" xfId="0" applyFont="1" applyFill="1" applyBorder="1" applyAlignment="1">
      <alignment horizontal="justify" vertical="center" indent="1"/>
    </xf>
    <xf numFmtId="186" fontId="25" fillId="0" borderId="0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vertical="center"/>
    </xf>
    <xf numFmtId="190" fontId="1" fillId="0" borderId="0" xfId="0" applyNumberFormat="1" applyFont="1" applyFill="1" applyBorder="1" applyAlignment="1">
      <alignment horizontal="right" vertical="center"/>
    </xf>
    <xf numFmtId="186" fontId="1" fillId="0" borderId="35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186" fontId="25" fillId="0" borderId="20" xfId="0" applyNumberFormat="1" applyFont="1" applyFill="1" applyBorder="1" applyAlignment="1">
      <alignment horizontal="right" vertical="center"/>
    </xf>
    <xf numFmtId="187" fontId="1" fillId="0" borderId="20" xfId="1" applyNumberFormat="1" applyFont="1" applyFill="1" applyBorder="1" applyAlignment="1" applyProtection="1">
      <alignment horizontal="right" vertical="center"/>
    </xf>
    <xf numFmtId="186" fontId="1" fillId="0" borderId="42" xfId="0" applyNumberFormat="1" applyFont="1" applyFill="1" applyBorder="1" applyAlignment="1">
      <alignment horizontal="right" vertical="center"/>
    </xf>
    <xf numFmtId="183" fontId="0" fillId="0" borderId="0" xfId="0" applyNumberFormat="1" applyFill="1" applyAlignment="1">
      <alignment horizontal="right" vertical="center" indent="1"/>
    </xf>
    <xf numFmtId="184" fontId="0" fillId="0" borderId="0" xfId="0" applyNumberFormat="1" applyFill="1" applyAlignment="1">
      <alignment horizontal="right" vertical="center" indent="1"/>
    </xf>
    <xf numFmtId="177" fontId="1" fillId="0" borderId="0" xfId="0" applyNumberFormat="1" applyFont="1" applyFill="1" applyAlignment="1">
      <alignment horizontal="right" vertical="center"/>
    </xf>
    <xf numFmtId="177" fontId="0" fillId="0" borderId="0" xfId="0" applyNumberFormat="1" applyFill="1" applyAlignment="1">
      <alignment vertical="center"/>
    </xf>
    <xf numFmtId="183" fontId="0" fillId="0" borderId="0" xfId="0" applyNumberFormat="1" applyFill="1" applyAlignment="1">
      <alignment horizontal="right" indent="1"/>
    </xf>
    <xf numFmtId="184" fontId="0" fillId="0" borderId="0" xfId="0" applyNumberFormat="1" applyFill="1" applyAlignment="1">
      <alignment horizontal="right" indent="1"/>
    </xf>
    <xf numFmtId="177" fontId="0" fillId="0" borderId="0" xfId="0" applyNumberFormat="1" applyFill="1">
      <alignment vertical="center"/>
    </xf>
    <xf numFmtId="0" fontId="1" fillId="0" borderId="0" xfId="6" applyFont="1" applyAlignment="1">
      <alignment horizontal="left" vertical="center"/>
    </xf>
    <xf numFmtId="0" fontId="1" fillId="0" borderId="0" xfId="6" applyFont="1" applyAlignment="1">
      <alignment horizontal="right" vertical="center"/>
    </xf>
    <xf numFmtId="0" fontId="4" fillId="0" borderId="0" xfId="6" applyFont="1" applyBorder="1" applyAlignment="1">
      <alignment vertical="center"/>
    </xf>
    <xf numFmtId="0" fontId="4" fillId="0" borderId="0" xfId="6" applyFont="1" applyBorder="1" applyAlignment="1">
      <alignment horizontal="center" vertical="center"/>
    </xf>
    <xf numFmtId="191" fontId="4" fillId="0" borderId="0" xfId="6" applyNumberFormat="1" applyFont="1" applyBorder="1" applyAlignment="1">
      <alignment vertical="center"/>
    </xf>
    <xf numFmtId="0" fontId="29" fillId="0" borderId="0" xfId="6" applyFont="1" applyBorder="1"/>
    <xf numFmtId="0" fontId="1" fillId="0" borderId="0" xfId="6" applyFont="1" applyBorder="1" applyAlignment="1">
      <alignment vertical="center"/>
    </xf>
    <xf numFmtId="0" fontId="9" fillId="0" borderId="0" xfId="6" applyFont="1" applyBorder="1" applyAlignment="1">
      <alignment horizontal="center"/>
    </xf>
    <xf numFmtId="199" fontId="1" fillId="0" borderId="0" xfId="6" applyNumberFormat="1" applyFont="1" applyBorder="1" applyAlignment="1">
      <alignment horizontal="right" vertical="center"/>
    </xf>
    <xf numFmtId="0" fontId="8" fillId="0" borderId="0" xfId="6" applyFont="1" applyBorder="1"/>
    <xf numFmtId="38" fontId="8" fillId="0" borderId="0" xfId="3" applyFont="1" applyBorder="1"/>
    <xf numFmtId="207" fontId="1" fillId="0" borderId="0" xfId="6" applyNumberFormat="1" applyFont="1" applyAlignment="1">
      <alignment horizontal="left"/>
    </xf>
    <xf numFmtId="207" fontId="8" fillId="0" borderId="0" xfId="6" applyNumberFormat="1" applyFont="1" applyAlignment="1">
      <alignment horizontal="left"/>
    </xf>
    <xf numFmtId="210" fontId="13" fillId="0" borderId="38" xfId="6" applyNumberFormat="1" applyBorder="1"/>
    <xf numFmtId="0" fontId="25" fillId="0" borderId="64" xfId="5" applyFont="1" applyFill="1" applyBorder="1" applyAlignment="1">
      <alignment horizontal="center" vertical="center"/>
    </xf>
    <xf numFmtId="0" fontId="6" fillId="0" borderId="66" xfId="5" applyFont="1" applyFill="1" applyBorder="1" applyAlignment="1">
      <alignment horizontal="center" vertical="center"/>
    </xf>
    <xf numFmtId="176" fontId="1" fillId="0" borderId="38" xfId="2" applyNumberFormat="1" applyFont="1" applyFill="1" applyBorder="1" applyAlignment="1">
      <alignment vertical="center"/>
    </xf>
    <xf numFmtId="179" fontId="1" fillId="0" borderId="38" xfId="6" applyNumberFormat="1" applyFont="1" applyBorder="1" applyAlignment="1">
      <alignment horizontal="right" vertical="center"/>
    </xf>
    <xf numFmtId="0" fontId="13" fillId="0" borderId="38" xfId="6" applyFont="1" applyBorder="1" applyAlignment="1">
      <alignment horizontal="center"/>
    </xf>
    <xf numFmtId="179" fontId="1" fillId="0" borderId="0" xfId="6" applyNumberFormat="1" applyFont="1" applyAlignment="1">
      <alignment horizontal="right"/>
    </xf>
    <xf numFmtId="180" fontId="1" fillId="0" borderId="0" xfId="6" applyNumberFormat="1" applyFont="1" applyAlignment="1">
      <alignment horizontal="center"/>
    </xf>
    <xf numFmtId="176" fontId="1" fillId="0" borderId="38" xfId="6" applyNumberFormat="1" applyFont="1" applyBorder="1"/>
    <xf numFmtId="179" fontId="1" fillId="0" borderId="38" xfId="6" applyNumberFormat="1" applyFont="1" applyBorder="1" applyAlignment="1">
      <alignment horizontal="right"/>
    </xf>
    <xf numFmtId="180" fontId="1" fillId="0" borderId="38" xfId="6" applyNumberFormat="1" applyFont="1" applyBorder="1" applyAlignment="1">
      <alignment horizontal="center" vertical="center"/>
    </xf>
    <xf numFmtId="176" fontId="1" fillId="0" borderId="38" xfId="0" applyNumberFormat="1" applyFont="1" applyFill="1" applyBorder="1" applyAlignment="1">
      <alignment vertical="center"/>
    </xf>
    <xf numFmtId="186" fontId="3" fillId="0" borderId="9" xfId="0" applyNumberFormat="1" applyFont="1" applyFill="1" applyBorder="1" applyAlignment="1">
      <alignment vertical="center"/>
    </xf>
    <xf numFmtId="176" fontId="1" fillId="0" borderId="35" xfId="4" applyNumberFormat="1" applyFont="1" applyFill="1" applyBorder="1" applyAlignment="1">
      <alignment vertical="center"/>
    </xf>
    <xf numFmtId="176" fontId="1" fillId="0" borderId="42" xfId="4" applyNumberFormat="1" applyFont="1" applyFill="1" applyBorder="1" applyAlignment="1">
      <alignment vertical="center"/>
    </xf>
    <xf numFmtId="186" fontId="1" fillId="0" borderId="42" xfId="4" applyNumberFormat="1" applyFont="1" applyFill="1" applyBorder="1" applyAlignment="1">
      <alignment vertical="center"/>
    </xf>
    <xf numFmtId="49" fontId="25" fillId="0" borderId="31" xfId="4" applyNumberFormat="1" applyFont="1" applyFill="1" applyBorder="1" applyAlignment="1">
      <alignment horizontal="left" vertical="center"/>
    </xf>
    <xf numFmtId="0" fontId="9" fillId="0" borderId="3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9" fontId="3" fillId="0" borderId="2" xfId="4" applyNumberFormat="1" applyFont="1" applyFill="1" applyBorder="1" applyAlignment="1">
      <alignment vertical="center"/>
    </xf>
    <xf numFmtId="179" fontId="3" fillId="0" borderId="9" xfId="4" applyNumberFormat="1" applyFont="1" applyFill="1" applyBorder="1" applyAlignment="1">
      <alignment vertical="center"/>
    </xf>
    <xf numFmtId="179" fontId="1" fillId="0" borderId="2" xfId="4" applyNumberFormat="1" applyFont="1" applyFill="1" applyBorder="1" applyAlignment="1">
      <alignment vertical="center"/>
    </xf>
    <xf numFmtId="179" fontId="1" fillId="0" borderId="9" xfId="4" applyNumberFormat="1" applyFont="1" applyFill="1" applyBorder="1" applyAlignment="1">
      <alignment vertical="center"/>
    </xf>
    <xf numFmtId="179" fontId="1" fillId="0" borderId="21" xfId="4" applyNumberFormat="1" applyFont="1" applyFill="1" applyBorder="1" applyAlignment="1">
      <alignment vertical="center"/>
    </xf>
    <xf numFmtId="179" fontId="1" fillId="0" borderId="20" xfId="4" applyNumberFormat="1" applyFont="1" applyFill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81" fontId="1" fillId="0" borderId="0" xfId="2" applyNumberFormat="1" applyFont="1" applyFill="1" applyBorder="1" applyAlignment="1">
      <alignment horizontal="right" vertical="center"/>
    </xf>
    <xf numFmtId="181" fontId="3" fillId="0" borderId="20" xfId="2" applyNumberFormat="1" applyFont="1" applyFill="1" applyBorder="1" applyAlignment="1">
      <alignment horizontal="right" vertical="center"/>
    </xf>
    <xf numFmtId="179" fontId="1" fillId="0" borderId="35" xfId="5" applyNumberFormat="1" applyFont="1" applyFill="1" applyBorder="1" applyAlignment="1">
      <alignment horizontal="right" vertical="center"/>
    </xf>
    <xf numFmtId="181" fontId="1" fillId="0" borderId="35" xfId="2" applyNumberFormat="1" applyFont="1" applyFill="1" applyBorder="1" applyAlignment="1">
      <alignment horizontal="right" vertical="center"/>
    </xf>
    <xf numFmtId="181" fontId="3" fillId="0" borderId="42" xfId="2" applyNumberFormat="1" applyFont="1" applyFill="1" applyBorder="1" applyAlignment="1">
      <alignment horizontal="right" vertical="center"/>
    </xf>
    <xf numFmtId="3" fontId="24" fillId="0" borderId="0" xfId="0" applyNumberFormat="1" applyFont="1" applyFill="1" applyAlignment="1">
      <alignment horizontal="right" vertical="center"/>
    </xf>
    <xf numFmtId="0" fontId="1" fillId="0" borderId="0" xfId="6" applyFont="1" applyAlignment="1">
      <alignment horizontal="center" vertical="center"/>
    </xf>
    <xf numFmtId="197" fontId="1" fillId="0" borderId="35" xfId="0" applyNumberFormat="1" applyFont="1" applyFill="1" applyBorder="1" applyAlignment="1">
      <alignment horizontal="right" vertical="center"/>
    </xf>
    <xf numFmtId="211" fontId="1" fillId="0" borderId="38" xfId="6" quotePrefix="1" applyNumberFormat="1" applyFont="1" applyBorder="1" applyAlignment="1">
      <alignment horizontal="center"/>
    </xf>
    <xf numFmtId="211" fontId="1" fillId="0" borderId="38" xfId="6" applyNumberFormat="1" applyFont="1" applyBorder="1" applyAlignment="1">
      <alignment horizontal="center"/>
    </xf>
    <xf numFmtId="0" fontId="1" fillId="0" borderId="0" xfId="6" applyFont="1" applyAlignment="1">
      <alignment horizontal="center"/>
    </xf>
    <xf numFmtId="189" fontId="3" fillId="0" borderId="0" xfId="0" applyNumberFormat="1" applyFont="1" applyFill="1" applyBorder="1" applyAlignment="1">
      <alignment vertical="center"/>
    </xf>
    <xf numFmtId="49" fontId="3" fillId="0" borderId="36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0" xfId="0" applyNumberFormat="1" applyFont="1" applyFill="1" applyBorder="1" applyAlignment="1">
      <alignment horizontal="right" vertical="center"/>
    </xf>
    <xf numFmtId="201" fontId="3" fillId="0" borderId="20" xfId="0" applyNumberFormat="1" applyFont="1" applyBorder="1" applyAlignment="1">
      <alignment horizontal="right" vertical="center"/>
    </xf>
    <xf numFmtId="189" fontId="3" fillId="0" borderId="20" xfId="0" applyNumberFormat="1" applyFont="1" applyBorder="1" applyAlignment="1">
      <alignment horizontal="right" vertical="center"/>
    </xf>
    <xf numFmtId="185" fontId="3" fillId="0" borderId="42" xfId="0" applyNumberFormat="1" applyFont="1" applyFill="1" applyBorder="1" applyAlignment="1">
      <alignment horizontal="right" vertical="center"/>
    </xf>
    <xf numFmtId="0" fontId="1" fillId="0" borderId="80" xfId="5" applyFont="1" applyFill="1" applyBorder="1" applyAlignment="1">
      <alignment horizontal="center" vertical="center"/>
    </xf>
    <xf numFmtId="0" fontId="1" fillId="0" borderId="81" xfId="5" applyFont="1" applyFill="1" applyBorder="1" applyAlignment="1">
      <alignment horizontal="center" vertical="center"/>
    </xf>
    <xf numFmtId="0" fontId="1" fillId="0" borderId="62" xfId="5" applyFont="1" applyFill="1" applyBorder="1" applyAlignment="1">
      <alignment horizontal="center" vertical="center"/>
    </xf>
    <xf numFmtId="0" fontId="1" fillId="0" borderId="63" xfId="5" applyFont="1" applyFill="1" applyBorder="1" applyAlignment="1">
      <alignment horizontal="center" vertical="center"/>
    </xf>
    <xf numFmtId="0" fontId="1" fillId="0" borderId="76" xfId="5" applyFont="1" applyFill="1" applyBorder="1" applyAlignment="1">
      <alignment horizontal="center" vertical="center"/>
    </xf>
    <xf numFmtId="0" fontId="1" fillId="0" borderId="82" xfId="5" applyFont="1" applyFill="1" applyBorder="1" applyAlignment="1">
      <alignment horizontal="center" vertical="center"/>
    </xf>
    <xf numFmtId="0" fontId="1" fillId="0" borderId="83" xfId="5" applyFont="1" applyFill="1" applyBorder="1" applyAlignment="1">
      <alignment horizontal="center" vertical="center"/>
    </xf>
    <xf numFmtId="176" fontId="1" fillId="0" borderId="0" xfId="5" applyNumberFormat="1" applyFont="1" applyFill="1" applyBorder="1" applyAlignment="1">
      <alignment horizontal="right" vertical="center"/>
    </xf>
    <xf numFmtId="178" fontId="1" fillId="0" borderId="0" xfId="5" applyNumberFormat="1" applyFont="1" applyFill="1" applyBorder="1" applyAlignment="1">
      <alignment horizontal="right" vertical="center"/>
    </xf>
    <xf numFmtId="178" fontId="1" fillId="0" borderId="35" xfId="5" applyNumberFormat="1" applyFont="1" applyFill="1" applyBorder="1" applyAlignment="1">
      <alignment horizontal="right" vertical="center"/>
    </xf>
    <xf numFmtId="0" fontId="1" fillId="0" borderId="77" xfId="5" applyFont="1" applyFill="1" applyBorder="1" applyAlignment="1">
      <alignment horizontal="center" vertical="center"/>
    </xf>
    <xf numFmtId="0" fontId="1" fillId="0" borderId="61" xfId="5" applyFont="1" applyFill="1" applyBorder="1" applyAlignment="1">
      <alignment horizontal="center" vertical="center"/>
    </xf>
    <xf numFmtId="0" fontId="1" fillId="0" borderId="78" xfId="5" applyFont="1" applyFill="1" applyBorder="1" applyAlignment="1">
      <alignment horizontal="center" vertical="center"/>
    </xf>
    <xf numFmtId="0" fontId="1" fillId="0" borderId="79" xfId="5" applyFont="1" applyFill="1" applyBorder="1" applyAlignment="1">
      <alignment horizontal="center" vertical="center"/>
    </xf>
    <xf numFmtId="176" fontId="1" fillId="0" borderId="0" xfId="5" applyNumberFormat="1" applyFont="1" applyFill="1" applyBorder="1" applyAlignment="1">
      <alignment horizontal="right"/>
    </xf>
    <xf numFmtId="179" fontId="3" fillId="0" borderId="20" xfId="5" applyNumberFormat="1" applyFont="1" applyFill="1" applyBorder="1" applyAlignment="1">
      <alignment horizontal="right" vertical="center"/>
    </xf>
    <xf numFmtId="176" fontId="3" fillId="0" borderId="20" xfId="5" applyNumberFormat="1" applyFont="1" applyFill="1" applyBorder="1" applyAlignment="1">
      <alignment horizontal="right"/>
    </xf>
    <xf numFmtId="178" fontId="3" fillId="0" borderId="20" xfId="5" applyNumberFormat="1" applyFont="1" applyFill="1" applyBorder="1" applyAlignment="1">
      <alignment horizontal="right" vertical="center"/>
    </xf>
    <xf numFmtId="178" fontId="3" fillId="0" borderId="42" xfId="5" applyNumberFormat="1" applyFont="1" applyFill="1" applyBorder="1" applyAlignment="1">
      <alignment horizontal="right" vertical="center"/>
    </xf>
    <xf numFmtId="179" fontId="1" fillId="0" borderId="0" xfId="5" applyNumberFormat="1" applyFont="1" applyFill="1" applyBorder="1" applyAlignment="1">
      <alignment horizontal="right" vertical="center"/>
    </xf>
    <xf numFmtId="0" fontId="1" fillId="0" borderId="64" xfId="5" applyFont="1" applyFill="1" applyBorder="1" applyAlignment="1">
      <alignment horizontal="center" vertical="center"/>
    </xf>
    <xf numFmtId="0" fontId="1" fillId="0" borderId="84" xfId="5" applyFont="1" applyFill="1" applyBorder="1" applyAlignment="1">
      <alignment horizontal="center" vertical="center"/>
    </xf>
    <xf numFmtId="0" fontId="1" fillId="0" borderId="31" xfId="5" applyFont="1" applyFill="1" applyBorder="1" applyAlignment="1">
      <alignment horizontal="center" vertical="center"/>
    </xf>
    <xf numFmtId="0" fontId="1" fillId="0" borderId="85" xfId="5" applyFont="1" applyFill="1" applyBorder="1" applyAlignment="1">
      <alignment horizontal="center" vertical="center"/>
    </xf>
    <xf numFmtId="0" fontId="1" fillId="0" borderId="53" xfId="5" applyFont="1" applyFill="1" applyBorder="1" applyAlignment="1">
      <alignment horizontal="center" vertical="center"/>
    </xf>
    <xf numFmtId="0" fontId="1" fillId="0" borderId="86" xfId="5" applyFont="1" applyFill="1" applyBorder="1" applyAlignment="1">
      <alignment horizontal="center" vertical="center"/>
    </xf>
    <xf numFmtId="0" fontId="1" fillId="0" borderId="87" xfId="5" applyFont="1" applyFill="1" applyBorder="1" applyAlignment="1">
      <alignment horizontal="center" vertical="center"/>
    </xf>
    <xf numFmtId="0" fontId="1" fillId="0" borderId="88" xfId="5" applyFont="1" applyFill="1" applyBorder="1" applyAlignment="1">
      <alignment horizontal="center" vertical="center"/>
    </xf>
    <xf numFmtId="0" fontId="1" fillId="0" borderId="89" xfId="5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4" fillId="0" borderId="31" xfId="0" applyNumberFormat="1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center" vertical="distributed" textRotation="255"/>
    </xf>
    <xf numFmtId="0" fontId="1" fillId="0" borderId="29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distributed" textRotation="255"/>
    </xf>
    <xf numFmtId="0" fontId="1" fillId="0" borderId="25" xfId="0" applyFont="1" applyFill="1" applyBorder="1" applyAlignment="1">
      <alignment horizontal="center" vertical="distributed" textRotation="255"/>
    </xf>
    <xf numFmtId="0" fontId="1" fillId="0" borderId="75" xfId="0" applyFont="1" applyFill="1" applyBorder="1" applyAlignment="1">
      <alignment horizontal="center" vertical="distributed" textRotation="255"/>
    </xf>
    <xf numFmtId="0" fontId="1" fillId="0" borderId="0" xfId="0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3" fontId="1" fillId="0" borderId="17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184" fontId="1" fillId="0" borderId="17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177" fontId="1" fillId="0" borderId="18" xfId="0" applyNumberFormat="1" applyFont="1" applyFill="1" applyBorder="1" applyAlignment="1">
      <alignment horizontal="center" vertical="center"/>
    </xf>
    <xf numFmtId="177" fontId="1" fillId="0" borderId="40" xfId="0" applyNumberFormat="1" applyFont="1" applyFill="1" applyBorder="1" applyAlignment="1">
      <alignment horizontal="center" vertical="center"/>
    </xf>
    <xf numFmtId="186" fontId="1" fillId="0" borderId="5" xfId="4" applyNumberFormat="1" applyFont="1" applyFill="1" applyBorder="1" applyAlignment="1">
      <alignment vertical="center"/>
    </xf>
    <xf numFmtId="49" fontId="27" fillId="0" borderId="43" xfId="4" applyNumberFormat="1" applyFont="1" applyFill="1" applyBorder="1" applyAlignment="1">
      <alignment vertical="center"/>
    </xf>
    <xf numFmtId="49" fontId="1" fillId="0" borderId="73" xfId="4" applyNumberFormat="1" applyFont="1" applyFill="1" applyBorder="1" applyAlignment="1">
      <alignment vertical="center"/>
    </xf>
    <xf numFmtId="186" fontId="1" fillId="0" borderId="21" xfId="4" applyNumberFormat="1" applyFont="1" applyFill="1" applyBorder="1" applyAlignment="1">
      <alignment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25" fillId="0" borderId="19" xfId="4" applyNumberFormat="1" applyFont="1" applyFill="1" applyBorder="1" applyAlignment="1">
      <alignment horizontal="center" vertical="center"/>
    </xf>
    <xf numFmtId="49" fontId="25" fillId="0" borderId="13" xfId="4" applyNumberFormat="1" applyFont="1" applyFill="1" applyBorder="1" applyAlignment="1">
      <alignment horizontal="center" vertical="center"/>
    </xf>
    <xf numFmtId="186" fontId="3" fillId="0" borderId="5" xfId="4" applyNumberFormat="1" applyFont="1" applyFill="1" applyBorder="1" applyAlignment="1">
      <alignment horizontal="center" vertical="center"/>
    </xf>
    <xf numFmtId="186" fontId="3" fillId="0" borderId="0" xfId="4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186" fontId="1" fillId="0" borderId="5" xfId="0" applyNumberFormat="1" applyFont="1" applyFill="1" applyBorder="1" applyAlignment="1">
      <alignment vertical="center"/>
    </xf>
    <xf numFmtId="186" fontId="1" fillId="0" borderId="5" xfId="4" applyNumberFormat="1" applyFont="1" applyFill="1" applyBorder="1" applyAlignment="1">
      <alignment horizontal="right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72" xfId="0" applyFont="1" applyFill="1" applyBorder="1" applyAlignment="1">
      <alignment horizontal="distributed" vertical="center"/>
    </xf>
    <xf numFmtId="0" fontId="1" fillId="0" borderId="0" xfId="4" applyFont="1" applyFill="1" applyBorder="1" applyAlignment="1">
      <alignment horizontal="distributed" vertical="center" wrapText="1"/>
    </xf>
    <xf numFmtId="0" fontId="1" fillId="0" borderId="2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left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198" fontId="3" fillId="0" borderId="71" xfId="0" applyNumberFormat="1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distributed" vertical="center" wrapText="1"/>
    </xf>
    <xf numFmtId="0" fontId="1" fillId="0" borderId="8" xfId="4" applyFont="1" applyFill="1" applyBorder="1" applyAlignment="1">
      <alignment horizontal="distributed" vertical="center" wrapText="1"/>
    </xf>
    <xf numFmtId="198" fontId="1" fillId="0" borderId="8" xfId="4" applyNumberFormat="1" applyFont="1" applyFill="1" applyBorder="1" applyAlignment="1">
      <alignment horizontal="center" vertical="center"/>
    </xf>
    <xf numFmtId="49" fontId="1" fillId="0" borderId="5" xfId="4" applyNumberFormat="1" applyFont="1" applyFill="1" applyBorder="1" applyAlignment="1">
      <alignment horizontal="center" vertical="center"/>
    </xf>
    <xf numFmtId="49" fontId="1" fillId="0" borderId="13" xfId="4" applyNumberFormat="1" applyFont="1" applyFill="1" applyBorder="1" applyAlignment="1">
      <alignment horizontal="center" vertical="center"/>
    </xf>
    <xf numFmtId="198" fontId="1" fillId="0" borderId="6" xfId="4" applyNumberFormat="1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left" vertical="center"/>
    </xf>
    <xf numFmtId="0" fontId="3" fillId="0" borderId="5" xfId="4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distributed" vertical="center"/>
    </xf>
    <xf numFmtId="0" fontId="3" fillId="0" borderId="33" xfId="4" applyFont="1" applyFill="1" applyBorder="1" applyAlignment="1">
      <alignment horizontal="distributed" vertical="center"/>
    </xf>
    <xf numFmtId="0" fontId="3" fillId="0" borderId="9" xfId="4" applyFont="1" applyFill="1" applyBorder="1" applyAlignment="1">
      <alignment horizontal="distributed" vertical="center"/>
    </xf>
    <xf numFmtId="0" fontId="11" fillId="0" borderId="19" xfId="4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distributed" vertical="center"/>
    </xf>
    <xf numFmtId="49" fontId="1" fillId="0" borderId="33" xfId="4" applyNumberFormat="1" applyFont="1" applyFill="1" applyBorder="1" applyAlignment="1">
      <alignment horizontal="center" vertical="center"/>
    </xf>
    <xf numFmtId="49" fontId="1" fillId="0" borderId="11" xfId="4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96" fontId="1" fillId="0" borderId="7" xfId="4" applyNumberFormat="1" applyFont="1" applyFill="1" applyBorder="1" applyAlignment="1">
      <alignment horizontal="center" vertical="center"/>
    </xf>
    <xf numFmtId="49" fontId="1" fillId="0" borderId="2" xfId="4" applyNumberFormat="1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distributed" vertical="center" wrapText="1"/>
    </xf>
    <xf numFmtId="49" fontId="1" fillId="0" borderId="19" xfId="4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1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9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9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8" fillId="0" borderId="31" xfId="0" applyFont="1" applyBorder="1" applyAlignment="1">
      <alignment horizontal="center" vertical="center"/>
    </xf>
    <xf numFmtId="200" fontId="1" fillId="0" borderId="5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2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189" fontId="1" fillId="0" borderId="20" xfId="0" applyNumberFormat="1" applyFont="1" applyFill="1" applyBorder="1" applyAlignment="1">
      <alignment horizontal="right" vertical="center"/>
    </xf>
    <xf numFmtId="189" fontId="1" fillId="0" borderId="0" xfId="0" applyNumberFormat="1" applyFont="1" applyFill="1" applyBorder="1" applyAlignment="1">
      <alignment horizontal="right" vertical="center"/>
    </xf>
    <xf numFmtId="200" fontId="1" fillId="0" borderId="21" xfId="0" applyNumberFormat="1" applyFont="1" applyFill="1" applyBorder="1" applyAlignment="1">
      <alignment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/>
    </xf>
    <xf numFmtId="200" fontId="3" fillId="0" borderId="5" xfId="0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92" xfId="0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vertical="center"/>
    </xf>
    <xf numFmtId="189" fontId="1" fillId="0" borderId="9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176" fontId="1" fillId="0" borderId="5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 shrinkToFit="1"/>
    </xf>
    <xf numFmtId="205" fontId="1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179" fontId="1" fillId="0" borderId="25" xfId="0" applyNumberFormat="1" applyFont="1" applyBorder="1" applyAlignment="1">
      <alignment horizontal="center" vertical="center"/>
    </xf>
    <xf numFmtId="179" fontId="1" fillId="0" borderId="6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179" fontId="3" fillId="0" borderId="43" xfId="0" applyNumberFormat="1" applyFont="1" applyBorder="1" applyAlignment="1">
      <alignment horizontal="center" vertical="center"/>
    </xf>
    <xf numFmtId="179" fontId="3" fillId="0" borderId="73" xfId="0" applyNumberFormat="1" applyFont="1" applyBorder="1" applyAlignment="1">
      <alignment horizontal="center" vertical="center"/>
    </xf>
    <xf numFmtId="179" fontId="3" fillId="0" borderId="21" xfId="0" applyNumberFormat="1" applyFont="1" applyBorder="1" applyAlignment="1">
      <alignment horizontal="right" vertical="center"/>
    </xf>
    <xf numFmtId="205" fontId="3" fillId="0" borderId="37" xfId="0" applyNumberFormat="1" applyFont="1" applyBorder="1" applyAlignment="1">
      <alignment horizontal="right" vertical="center"/>
    </xf>
    <xf numFmtId="205" fontId="3" fillId="0" borderId="42" xfId="0" applyNumberFormat="1" applyFont="1" applyBorder="1" applyAlignment="1">
      <alignment horizontal="right" vertical="center"/>
    </xf>
    <xf numFmtId="205" fontId="1" fillId="0" borderId="0" xfId="0" applyNumberFormat="1" applyFont="1" applyBorder="1" applyAlignment="1">
      <alignment horizontal="right" vertical="center"/>
    </xf>
    <xf numFmtId="205" fontId="1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205" fontId="1" fillId="0" borderId="13" xfId="0" applyNumberFormat="1" applyFont="1" applyBorder="1" applyAlignment="1">
      <alignment horizontal="right" vertical="center"/>
    </xf>
    <xf numFmtId="205" fontId="1" fillId="0" borderId="35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05" fontId="3" fillId="0" borderId="21" xfId="0" applyNumberFormat="1" applyFont="1" applyBorder="1" applyAlignment="1">
      <alignment horizontal="right" vertical="center"/>
    </xf>
    <xf numFmtId="205" fontId="3" fillId="0" borderId="20" xfId="0" applyNumberFormat="1" applyFont="1" applyBorder="1" applyAlignment="1">
      <alignment horizontal="right" vertical="center"/>
    </xf>
    <xf numFmtId="205" fontId="3" fillId="0" borderId="20" xfId="0" applyNumberFormat="1" applyFont="1" applyFill="1" applyBorder="1" applyAlignment="1">
      <alignment horizontal="right" vertical="center"/>
    </xf>
    <xf numFmtId="0" fontId="1" fillId="0" borderId="4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179" fontId="1" fillId="0" borderId="24" xfId="0" applyNumberFormat="1" applyFont="1" applyBorder="1" applyAlignment="1">
      <alignment horizontal="center" vertical="center"/>
    </xf>
    <xf numFmtId="179" fontId="1" fillId="0" borderId="7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 indent="2"/>
    </xf>
    <xf numFmtId="0" fontId="1" fillId="0" borderId="6" xfId="0" applyFont="1" applyBorder="1" applyAlignment="1">
      <alignment horizontal="right" vertical="center" indent="2"/>
    </xf>
    <xf numFmtId="0" fontId="1" fillId="0" borderId="43" xfId="0" applyFont="1" applyBorder="1" applyAlignment="1">
      <alignment horizontal="distributed" vertical="center"/>
    </xf>
    <xf numFmtId="0" fontId="1" fillId="0" borderId="73" xfId="0" applyFont="1" applyBorder="1" applyAlignment="1">
      <alignment horizontal="distributed" vertical="center"/>
    </xf>
    <xf numFmtId="176" fontId="1" fillId="0" borderId="20" xfId="0" applyNumberFormat="1" applyFont="1" applyBorder="1" applyAlignment="1">
      <alignment vertical="center"/>
    </xf>
    <xf numFmtId="0" fontId="1" fillId="0" borderId="57" xfId="0" applyFont="1" applyBorder="1" applyAlignment="1">
      <alignment horizontal="center" vertical="center"/>
    </xf>
    <xf numFmtId="0" fontId="1" fillId="0" borderId="2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176" fontId="1" fillId="0" borderId="0" xfId="0" applyNumberFormat="1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7" fontId="1" fillId="0" borderId="13" xfId="0" applyNumberFormat="1" applyFont="1" applyBorder="1" applyAlignment="1">
      <alignment vertical="center"/>
    </xf>
    <xf numFmtId="177" fontId="1" fillId="0" borderId="35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7" fontId="1" fillId="0" borderId="37" xfId="0" applyNumberFormat="1" applyFont="1" applyBorder="1" applyAlignment="1">
      <alignment vertical="center"/>
    </xf>
    <xf numFmtId="177" fontId="1" fillId="0" borderId="42" xfId="0" applyNumberFormat="1" applyFont="1" applyBorder="1" applyAlignment="1">
      <alignment vertical="center"/>
    </xf>
    <xf numFmtId="177" fontId="1" fillId="0" borderId="20" xfId="0" applyNumberFormat="1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vertical="center"/>
    </xf>
    <xf numFmtId="177" fontId="3" fillId="0" borderId="35" xfId="0" applyNumberFormat="1" applyFont="1" applyBorder="1" applyAlignment="1">
      <alignment vertical="center"/>
    </xf>
    <xf numFmtId="0" fontId="3" fillId="0" borderId="2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176" fontId="1" fillId="0" borderId="9" xfId="0" applyNumberFormat="1" applyFont="1" applyBorder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9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32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25" fillId="0" borderId="3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206" fontId="1" fillId="0" borderId="35" xfId="0" applyNumberFormat="1" applyFont="1" applyFill="1" applyBorder="1" applyAlignment="1">
      <alignment horizontal="right" vertical="center"/>
    </xf>
    <xf numFmtId="206" fontId="1" fillId="0" borderId="42" xfId="0" applyNumberFormat="1" applyFont="1" applyFill="1" applyBorder="1" applyAlignment="1">
      <alignment horizontal="right" vertical="center"/>
    </xf>
    <xf numFmtId="206" fontId="1" fillId="0" borderId="0" xfId="0" applyNumberFormat="1" applyFont="1" applyFill="1" applyBorder="1" applyAlignment="1">
      <alignment horizontal="right" vertical="center"/>
    </xf>
    <xf numFmtId="206" fontId="1" fillId="0" borderId="20" xfId="0" applyNumberFormat="1" applyFont="1" applyFill="1" applyBorder="1" applyAlignment="1">
      <alignment horizontal="right" vertical="center"/>
    </xf>
    <xf numFmtId="206" fontId="1" fillId="0" borderId="0" xfId="0" applyNumberFormat="1" applyFont="1" applyBorder="1" applyAlignment="1">
      <alignment horizontal="right" vertical="center"/>
    </xf>
    <xf numFmtId="206" fontId="1" fillId="0" borderId="20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horizontal="right" vertical="center"/>
    </xf>
    <xf numFmtId="180" fontId="1" fillId="0" borderId="20" xfId="0" applyNumberFormat="1" applyFont="1" applyBorder="1" applyAlignment="1">
      <alignment horizontal="right" vertical="center"/>
    </xf>
    <xf numFmtId="179" fontId="1" fillId="0" borderId="0" xfId="0" applyNumberFormat="1" applyFont="1" applyBorder="1" applyAlignment="1">
      <alignment horizontal="right" vertical="center"/>
    </xf>
    <xf numFmtId="179" fontId="1" fillId="0" borderId="20" xfId="0" applyNumberFormat="1" applyFont="1" applyBorder="1" applyAlignment="1">
      <alignment horizontal="right" vertical="center"/>
    </xf>
    <xf numFmtId="179" fontId="1" fillId="0" borderId="21" xfId="0" applyNumberFormat="1" applyFont="1" applyBorder="1" applyAlignment="1">
      <alignment horizontal="right" vertical="center"/>
    </xf>
    <xf numFmtId="0" fontId="1" fillId="0" borderId="0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1" fillId="0" borderId="0" xfId="6" applyFont="1" applyAlignment="1">
      <alignment horizontal="center" vertical="center"/>
    </xf>
  </cellXfs>
  <cellStyles count="7">
    <cellStyle name="パーセント" xfId="1" builtinId="5"/>
    <cellStyle name="桁区切り 2" xfId="2"/>
    <cellStyle name="桁区切り_02_人口_15～" xfId="3"/>
    <cellStyle name="標準" xfId="0" builtinId="0"/>
    <cellStyle name="標準 2" xfId="4"/>
    <cellStyle name="標準 3" xfId="5"/>
    <cellStyle name="標準_02_人口_15～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8.1364829396325528E-2"/>
          <c:y val="6.6985645933014371E-2"/>
          <c:w val="0.79265091863517156"/>
          <c:h val="0.77033492822966509"/>
        </c:manualLayout>
      </c:layout>
      <c:barChart>
        <c:barDir val="col"/>
        <c:grouping val="stacked"/>
        <c:ser>
          <c:idx val="1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k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グラフ!$H$5:$H$14</c:f>
              <c:strCache>
                <c:ptCount val="10"/>
                <c:pt idx="0">
                  <c:v>平成15年</c:v>
                </c:pt>
                <c:pt idx="1">
                  <c:v> 16年</c:v>
                </c:pt>
                <c:pt idx="2">
                  <c:v> 17年</c:v>
                </c:pt>
                <c:pt idx="3">
                  <c:v> 18年</c:v>
                </c:pt>
                <c:pt idx="4">
                  <c:v> 19年</c:v>
                </c:pt>
                <c:pt idx="5">
                  <c:v> 20年</c:v>
                </c:pt>
                <c:pt idx="6">
                  <c:v> 21年</c:v>
                </c:pt>
                <c:pt idx="7">
                  <c:v> 22年</c:v>
                </c:pt>
                <c:pt idx="8">
                  <c:v> 23年</c:v>
                </c:pt>
                <c:pt idx="9">
                  <c:v> 24年</c:v>
                </c:pt>
              </c:strCache>
            </c:strRef>
          </c:cat>
          <c:val>
            <c:numRef>
              <c:f>グラフ!$I$5:$I$14</c:f>
              <c:numCache>
                <c:formatCode>#,##0;[Red]\-#,##0</c:formatCode>
                <c:ptCount val="10"/>
                <c:pt idx="0">
                  <c:v>52453</c:v>
                </c:pt>
                <c:pt idx="1">
                  <c:v>52750</c:v>
                </c:pt>
                <c:pt idx="2">
                  <c:v>53166</c:v>
                </c:pt>
                <c:pt idx="3">
                  <c:v>53484</c:v>
                </c:pt>
                <c:pt idx="4">
                  <c:v>53757</c:v>
                </c:pt>
                <c:pt idx="5">
                  <c:v>53971</c:v>
                </c:pt>
                <c:pt idx="6">
                  <c:v>54426</c:v>
                </c:pt>
                <c:pt idx="7">
                  <c:v>54612</c:v>
                </c:pt>
                <c:pt idx="8">
                  <c:v>54927</c:v>
                </c:pt>
                <c:pt idx="9">
                  <c:v>55780</c:v>
                </c:pt>
              </c:numCache>
            </c:numRef>
          </c:val>
        </c:ser>
        <c:ser>
          <c:idx val="0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グラフ!$H$5:$H$14</c:f>
              <c:strCache>
                <c:ptCount val="10"/>
                <c:pt idx="0">
                  <c:v>平成15年</c:v>
                </c:pt>
                <c:pt idx="1">
                  <c:v> 16年</c:v>
                </c:pt>
                <c:pt idx="2">
                  <c:v> 17年</c:v>
                </c:pt>
                <c:pt idx="3">
                  <c:v> 18年</c:v>
                </c:pt>
                <c:pt idx="4">
                  <c:v> 19年</c:v>
                </c:pt>
                <c:pt idx="5">
                  <c:v> 20年</c:v>
                </c:pt>
                <c:pt idx="6">
                  <c:v> 21年</c:v>
                </c:pt>
                <c:pt idx="7">
                  <c:v> 22年</c:v>
                </c:pt>
                <c:pt idx="8">
                  <c:v> 23年</c:v>
                </c:pt>
                <c:pt idx="9">
                  <c:v> 24年</c:v>
                </c:pt>
              </c:strCache>
            </c:strRef>
          </c:cat>
          <c:val>
            <c:numRef>
              <c:f>グラフ!$J$5:$J$14</c:f>
              <c:numCache>
                <c:formatCode>#,##0;[Red]\-#,##0</c:formatCode>
                <c:ptCount val="10"/>
                <c:pt idx="0">
                  <c:v>53768</c:v>
                </c:pt>
                <c:pt idx="1">
                  <c:v>54060</c:v>
                </c:pt>
                <c:pt idx="2">
                  <c:v>54591</c:v>
                </c:pt>
                <c:pt idx="3">
                  <c:v>55147</c:v>
                </c:pt>
                <c:pt idx="4">
                  <c:v>55660</c:v>
                </c:pt>
                <c:pt idx="5">
                  <c:v>56135</c:v>
                </c:pt>
                <c:pt idx="6">
                  <c:v>56563</c:v>
                </c:pt>
                <c:pt idx="7">
                  <c:v>56983</c:v>
                </c:pt>
                <c:pt idx="8">
                  <c:v>57350</c:v>
                </c:pt>
                <c:pt idx="9">
                  <c:v>57965</c:v>
                </c:pt>
              </c:numCache>
            </c:numRef>
          </c:val>
        </c:ser>
        <c:gapWidth val="20"/>
        <c:overlap val="100"/>
        <c:axId val="105734912"/>
        <c:axId val="105736832"/>
      </c:barChart>
      <c:lineChart>
        <c:grouping val="standard"/>
        <c:ser>
          <c:idx val="2"/>
          <c:order val="2"/>
          <c:tx>
            <c:strRef>
              <c:f>グラフ!$K$4</c:f>
              <c:strCache>
                <c:ptCount val="1"/>
                <c:pt idx="0">
                  <c:v>上昇率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グラフ!$H$5:$H$13</c:f>
              <c:strCache>
                <c:ptCount val="9"/>
                <c:pt idx="0">
                  <c:v>平成15年</c:v>
                </c:pt>
                <c:pt idx="1">
                  <c:v> 16年</c:v>
                </c:pt>
                <c:pt idx="2">
                  <c:v> 17年</c:v>
                </c:pt>
                <c:pt idx="3">
                  <c:v> 18年</c:v>
                </c:pt>
                <c:pt idx="4">
                  <c:v> 19年</c:v>
                </c:pt>
                <c:pt idx="5">
                  <c:v> 20年</c:v>
                </c:pt>
                <c:pt idx="6">
                  <c:v> 21年</c:v>
                </c:pt>
                <c:pt idx="7">
                  <c:v> 22年</c:v>
                </c:pt>
                <c:pt idx="8">
                  <c:v> 23年</c:v>
                </c:pt>
              </c:strCache>
            </c:strRef>
          </c:cat>
          <c:val>
            <c:numRef>
              <c:f>グラフ!$K$5:$K$14</c:f>
              <c:numCache>
                <c:formatCode>0.0_ </c:formatCode>
                <c:ptCount val="10"/>
                <c:pt idx="0">
                  <c:v>0.69289500192993858</c:v>
                </c:pt>
                <c:pt idx="1">
                  <c:v>0.55144649377399124</c:v>
                </c:pt>
                <c:pt idx="2">
                  <c:v>0.87882921759143262</c:v>
                </c:pt>
                <c:pt idx="3">
                  <c:v>0.80455855142638844</c:v>
                </c:pt>
                <c:pt idx="4">
                  <c:v>0.71835272398256211</c:v>
                </c:pt>
                <c:pt idx="5">
                  <c:v>0.62576063066499554</c:v>
                </c:pt>
                <c:pt idx="6">
                  <c:v>0.7955743361954789</c:v>
                </c:pt>
                <c:pt idx="7">
                  <c:v>0.54303508221694519</c:v>
                </c:pt>
                <c:pt idx="8">
                  <c:v>0.60742627608503974</c:v>
                </c:pt>
                <c:pt idx="9">
                  <c:v>1.2906061804914502</c:v>
                </c:pt>
              </c:numCache>
            </c:numRef>
          </c:val>
        </c:ser>
        <c:marker val="1"/>
        <c:axId val="105739008"/>
        <c:axId val="105740544"/>
      </c:lineChart>
      <c:catAx>
        <c:axId val="10573491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736832"/>
        <c:crosses val="autoZero"/>
        <c:lblAlgn val="ctr"/>
        <c:lblOffset val="100"/>
        <c:tickLblSkip val="3"/>
        <c:tickMarkSkip val="1"/>
      </c:catAx>
      <c:valAx>
        <c:axId val="105736832"/>
        <c:scaling>
          <c:orientation val="minMax"/>
        </c:scaling>
        <c:axPos val="l"/>
        <c:numFmt formatCode="General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734912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5.7742782152231026E-2"/>
                <c:y val="2.1531100478468942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万人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105739008"/>
        <c:scaling>
          <c:orientation val="minMax"/>
        </c:scaling>
        <c:delete val="1"/>
        <c:axPos val="b"/>
        <c:tickLblPos val="none"/>
        <c:crossAx val="105740544"/>
        <c:crosses val="autoZero"/>
        <c:lblAlgn val="ctr"/>
        <c:lblOffset val="100"/>
      </c:catAx>
      <c:valAx>
        <c:axId val="105740544"/>
        <c:scaling>
          <c:orientation val="minMax"/>
        </c:scaling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4514435695538104"/>
              <c:y val="2.1531100478468929E-2"/>
            </c:manualLayout>
          </c:layout>
          <c:spPr>
            <a:noFill/>
            <a:ln w="25400">
              <a:noFill/>
            </a:ln>
          </c:spPr>
        </c:title>
        <c:numFmt formatCode="0.0_ 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73900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010498687664043"/>
          <c:y val="0.93062200956937835"/>
          <c:w val="0.67454068241469889"/>
          <c:h val="6.2200956937799069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9335375954989548"/>
          <c:y val="6.2500141285403293E-2"/>
          <c:w val="0.7764361906925491"/>
          <c:h val="0.78472399613895261"/>
        </c:manualLayout>
      </c:layout>
      <c:barChart>
        <c:barDir val="col"/>
        <c:grouping val="stacked"/>
        <c:ser>
          <c:idx val="0"/>
          <c:order val="0"/>
          <c:tx>
            <c:strRef>
              <c:f>グラフ!$I$186</c:f>
              <c:strCache>
                <c:ptCount val="1"/>
                <c:pt idx="0">
                  <c:v>年少人口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グラフ!$H$187:$H$189</c:f>
              <c:strCache>
                <c:ptCount val="3"/>
                <c:pt idx="0">
                  <c:v>平成12年</c:v>
                </c:pt>
                <c:pt idx="1">
                  <c:v>17年</c:v>
                </c:pt>
                <c:pt idx="2">
                  <c:v>22年</c:v>
                </c:pt>
              </c:strCache>
            </c:strRef>
          </c:cat>
          <c:val>
            <c:numRef>
              <c:f>グラフ!$I$187:$I$189</c:f>
              <c:numCache>
                <c:formatCode>#,##0;[Red]\-#,##0</c:formatCode>
                <c:ptCount val="3"/>
                <c:pt idx="0">
                  <c:v>21892</c:v>
                </c:pt>
                <c:pt idx="1">
                  <c:v>21528</c:v>
                </c:pt>
                <c:pt idx="2">
                  <c:v>21264</c:v>
                </c:pt>
              </c:numCache>
            </c:numRef>
          </c:val>
        </c:ser>
        <c:ser>
          <c:idx val="1"/>
          <c:order val="1"/>
          <c:tx>
            <c:strRef>
              <c:f>グラフ!$J$186</c:f>
              <c:strCache>
                <c:ptCount val="1"/>
                <c:pt idx="0">
                  <c:v>生産年齢人口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グラフ!$H$187:$H$189</c:f>
              <c:strCache>
                <c:ptCount val="3"/>
                <c:pt idx="0">
                  <c:v>平成12年</c:v>
                </c:pt>
                <c:pt idx="1">
                  <c:v>17年</c:v>
                </c:pt>
                <c:pt idx="2">
                  <c:v>22年</c:v>
                </c:pt>
              </c:strCache>
            </c:strRef>
          </c:cat>
          <c:val>
            <c:numRef>
              <c:f>グラフ!$J$187:$J$189</c:f>
              <c:numCache>
                <c:formatCode>#,##0;[Red]\-#,##0</c:formatCode>
                <c:ptCount val="3"/>
                <c:pt idx="0">
                  <c:v>68413</c:v>
                </c:pt>
                <c:pt idx="1">
                  <c:v>71343</c:v>
                </c:pt>
                <c:pt idx="2">
                  <c:v>72687</c:v>
                </c:pt>
              </c:numCache>
            </c:numRef>
          </c:val>
        </c:ser>
        <c:ser>
          <c:idx val="2"/>
          <c:order val="2"/>
          <c:tx>
            <c:strRef>
              <c:f>グラフ!$K$186</c:f>
              <c:strCache>
                <c:ptCount val="1"/>
                <c:pt idx="0">
                  <c:v>老年人口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グラフ!$H$187:$H$189</c:f>
              <c:strCache>
                <c:ptCount val="3"/>
                <c:pt idx="0">
                  <c:v>平成12年</c:v>
                </c:pt>
                <c:pt idx="1">
                  <c:v>17年</c:v>
                </c:pt>
                <c:pt idx="2">
                  <c:v>22年</c:v>
                </c:pt>
              </c:strCache>
            </c:strRef>
          </c:cat>
          <c:val>
            <c:numRef>
              <c:f>グラフ!$K$187:$K$189</c:f>
              <c:numCache>
                <c:formatCode>#,##0;[Red]\-#,##0</c:formatCode>
                <c:ptCount val="3"/>
                <c:pt idx="0">
                  <c:v>9917</c:v>
                </c:pt>
                <c:pt idx="1">
                  <c:v>13169</c:v>
                </c:pt>
                <c:pt idx="2">
                  <c:v>15846</c:v>
                </c:pt>
              </c:numCache>
            </c:numRef>
          </c:val>
        </c:ser>
        <c:gapWidth val="4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6598400"/>
        <c:axId val="106599936"/>
      </c:barChart>
      <c:catAx>
        <c:axId val="106598400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599936"/>
        <c:crosses val="autoZero"/>
        <c:auto val="1"/>
        <c:lblAlgn val="ctr"/>
        <c:lblOffset val="100"/>
        <c:tickLblSkip val="1"/>
        <c:tickMarkSkip val="1"/>
      </c:catAx>
      <c:valAx>
        <c:axId val="106599936"/>
        <c:scaling>
          <c:orientation val="minMax"/>
        </c:scaling>
        <c:axPos val="l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7824805131986907"/>
              <c:y val="1.1574074074074073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59840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676737160120832E-2"/>
          <c:y val="0.91898148148148162"/>
          <c:w val="0.89123867069486429"/>
          <c:h val="7.407407407407407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layout>
        <c:manualLayout>
          <c:xMode val="edge"/>
          <c:yMode val="edge"/>
          <c:x val="0.32075537727595393"/>
          <c:y val="2.1611001964636542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plotArea>
      <c:layout>
        <c:manualLayout>
          <c:layoutTarget val="inner"/>
          <c:xMode val="edge"/>
          <c:yMode val="edge"/>
          <c:x val="4.8218128067118851E-2"/>
          <c:y val="7.269155206286837E-2"/>
          <c:w val="0.63941430697701052"/>
          <c:h val="0.86640471512770134"/>
        </c:manualLayout>
      </c:layout>
      <c:barChart>
        <c:barDir val="bar"/>
        <c:grouping val="clustered"/>
        <c:ser>
          <c:idx val="0"/>
          <c:order val="0"/>
          <c:tx>
            <c:strRef>
              <c:f>グラフ!$N$186</c:f>
              <c:strCache>
                <c:ptCount val="1"/>
                <c:pt idx="0">
                  <c:v>男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グラフ!$M$187:$M$287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100歳以上</c:v>
                </c:pt>
              </c:strCache>
            </c:strRef>
          </c:cat>
          <c:val>
            <c:numRef>
              <c:f>グラフ!$N$187:$N$287</c:f>
              <c:numCache>
                <c:formatCode>General</c:formatCode>
                <c:ptCount val="101"/>
                <c:pt idx="0">
                  <c:v>765</c:v>
                </c:pt>
                <c:pt idx="1">
                  <c:v>765</c:v>
                </c:pt>
                <c:pt idx="2">
                  <c:v>688</c:v>
                </c:pt>
                <c:pt idx="3">
                  <c:v>713</c:v>
                </c:pt>
                <c:pt idx="4">
                  <c:v>747</c:v>
                </c:pt>
                <c:pt idx="5">
                  <c:v>706</c:v>
                </c:pt>
                <c:pt idx="6">
                  <c:v>727</c:v>
                </c:pt>
                <c:pt idx="7">
                  <c:v>758</c:v>
                </c:pt>
                <c:pt idx="8">
                  <c:v>680</c:v>
                </c:pt>
                <c:pt idx="9">
                  <c:v>766</c:v>
                </c:pt>
                <c:pt idx="10">
                  <c:v>701</c:v>
                </c:pt>
                <c:pt idx="11">
                  <c:v>751</c:v>
                </c:pt>
                <c:pt idx="12">
                  <c:v>768</c:v>
                </c:pt>
                <c:pt idx="13">
                  <c:v>705</c:v>
                </c:pt>
                <c:pt idx="14">
                  <c:v>722</c:v>
                </c:pt>
                <c:pt idx="15">
                  <c:v>723</c:v>
                </c:pt>
                <c:pt idx="16">
                  <c:v>738</c:v>
                </c:pt>
                <c:pt idx="17">
                  <c:v>711</c:v>
                </c:pt>
                <c:pt idx="18">
                  <c:v>652</c:v>
                </c:pt>
                <c:pt idx="19">
                  <c:v>581</c:v>
                </c:pt>
                <c:pt idx="20">
                  <c:v>575</c:v>
                </c:pt>
                <c:pt idx="21">
                  <c:v>549</c:v>
                </c:pt>
                <c:pt idx="22">
                  <c:v>572</c:v>
                </c:pt>
                <c:pt idx="23">
                  <c:v>596</c:v>
                </c:pt>
                <c:pt idx="24">
                  <c:v>675</c:v>
                </c:pt>
                <c:pt idx="25">
                  <c:v>678</c:v>
                </c:pt>
                <c:pt idx="26">
                  <c:v>704</c:v>
                </c:pt>
                <c:pt idx="27">
                  <c:v>701</c:v>
                </c:pt>
                <c:pt idx="28">
                  <c:v>689</c:v>
                </c:pt>
                <c:pt idx="29">
                  <c:v>728</c:v>
                </c:pt>
                <c:pt idx="30">
                  <c:v>745</c:v>
                </c:pt>
                <c:pt idx="31">
                  <c:v>762</c:v>
                </c:pt>
                <c:pt idx="32">
                  <c:v>781</c:v>
                </c:pt>
                <c:pt idx="33">
                  <c:v>770</c:v>
                </c:pt>
                <c:pt idx="34">
                  <c:v>835</c:v>
                </c:pt>
                <c:pt idx="35">
                  <c:v>919</c:v>
                </c:pt>
                <c:pt idx="36">
                  <c:v>987</c:v>
                </c:pt>
                <c:pt idx="37">
                  <c:v>964</c:v>
                </c:pt>
                <c:pt idx="38">
                  <c:v>902</c:v>
                </c:pt>
                <c:pt idx="39">
                  <c:v>881</c:v>
                </c:pt>
                <c:pt idx="40">
                  <c:v>825</c:v>
                </c:pt>
                <c:pt idx="41">
                  <c:v>803</c:v>
                </c:pt>
                <c:pt idx="42">
                  <c:v>858</c:v>
                </c:pt>
                <c:pt idx="43">
                  <c:v>811</c:v>
                </c:pt>
                <c:pt idx="44">
                  <c:v>628</c:v>
                </c:pt>
                <c:pt idx="45">
                  <c:v>717</c:v>
                </c:pt>
                <c:pt idx="46">
                  <c:v>727</c:v>
                </c:pt>
                <c:pt idx="47">
                  <c:v>708</c:v>
                </c:pt>
                <c:pt idx="48">
                  <c:v>646</c:v>
                </c:pt>
                <c:pt idx="49">
                  <c:v>727</c:v>
                </c:pt>
                <c:pt idx="50">
                  <c:v>704</c:v>
                </c:pt>
                <c:pt idx="51">
                  <c:v>719</c:v>
                </c:pt>
                <c:pt idx="52">
                  <c:v>682</c:v>
                </c:pt>
                <c:pt idx="53">
                  <c:v>665</c:v>
                </c:pt>
                <c:pt idx="54">
                  <c:v>650</c:v>
                </c:pt>
                <c:pt idx="55">
                  <c:v>663</c:v>
                </c:pt>
                <c:pt idx="56">
                  <c:v>676</c:v>
                </c:pt>
                <c:pt idx="57">
                  <c:v>676</c:v>
                </c:pt>
                <c:pt idx="58">
                  <c:v>707</c:v>
                </c:pt>
                <c:pt idx="59">
                  <c:v>705</c:v>
                </c:pt>
                <c:pt idx="60">
                  <c:v>735</c:v>
                </c:pt>
                <c:pt idx="61">
                  <c:v>702</c:v>
                </c:pt>
                <c:pt idx="62">
                  <c:v>724</c:v>
                </c:pt>
                <c:pt idx="63">
                  <c:v>581</c:v>
                </c:pt>
                <c:pt idx="64">
                  <c:v>275</c:v>
                </c:pt>
                <c:pt idx="65">
                  <c:v>318</c:v>
                </c:pt>
                <c:pt idx="66">
                  <c:v>408</c:v>
                </c:pt>
                <c:pt idx="67">
                  <c:v>417</c:v>
                </c:pt>
                <c:pt idx="68">
                  <c:v>459</c:v>
                </c:pt>
                <c:pt idx="69">
                  <c:v>492</c:v>
                </c:pt>
                <c:pt idx="70">
                  <c:v>453</c:v>
                </c:pt>
                <c:pt idx="71">
                  <c:v>431</c:v>
                </c:pt>
                <c:pt idx="72">
                  <c:v>455</c:v>
                </c:pt>
                <c:pt idx="73">
                  <c:v>376</c:v>
                </c:pt>
                <c:pt idx="74">
                  <c:v>385</c:v>
                </c:pt>
                <c:pt idx="75">
                  <c:v>347</c:v>
                </c:pt>
                <c:pt idx="76">
                  <c:v>313</c:v>
                </c:pt>
                <c:pt idx="77">
                  <c:v>323</c:v>
                </c:pt>
                <c:pt idx="78">
                  <c:v>267</c:v>
                </c:pt>
                <c:pt idx="79">
                  <c:v>227</c:v>
                </c:pt>
                <c:pt idx="80">
                  <c:v>214</c:v>
                </c:pt>
                <c:pt idx="81">
                  <c:v>183</c:v>
                </c:pt>
                <c:pt idx="82">
                  <c:v>168</c:v>
                </c:pt>
                <c:pt idx="83">
                  <c:v>115</c:v>
                </c:pt>
                <c:pt idx="84">
                  <c:v>90</c:v>
                </c:pt>
                <c:pt idx="85">
                  <c:v>76</c:v>
                </c:pt>
                <c:pt idx="86">
                  <c:v>79</c:v>
                </c:pt>
                <c:pt idx="87">
                  <c:v>75</c:v>
                </c:pt>
                <c:pt idx="88">
                  <c:v>45</c:v>
                </c:pt>
                <c:pt idx="89">
                  <c:v>39</c:v>
                </c:pt>
                <c:pt idx="90">
                  <c:v>30</c:v>
                </c:pt>
                <c:pt idx="91">
                  <c:v>32</c:v>
                </c:pt>
                <c:pt idx="92">
                  <c:v>25</c:v>
                </c:pt>
                <c:pt idx="93">
                  <c:v>14</c:v>
                </c:pt>
                <c:pt idx="94">
                  <c:v>17</c:v>
                </c:pt>
                <c:pt idx="95">
                  <c:v>13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0</c:v>
                </c:pt>
                <c:pt idx="100">
                  <c:v>3</c:v>
                </c:pt>
              </c:numCache>
            </c:numRef>
          </c:val>
        </c:ser>
        <c:axId val="106448000"/>
        <c:axId val="106449536"/>
      </c:barChart>
      <c:catAx>
        <c:axId val="106448000"/>
        <c:scaling>
          <c:orientation val="minMax"/>
        </c:scaling>
        <c:axPos val="r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449536"/>
        <c:crosses val="autoZero"/>
        <c:auto val="1"/>
        <c:lblAlgn val="ctr"/>
        <c:lblOffset val="100"/>
        <c:tickLblSkip val="10"/>
        <c:tickMarkSkip val="1"/>
      </c:catAx>
      <c:valAx>
        <c:axId val="106449536"/>
        <c:scaling>
          <c:orientation val="maxMin"/>
          <c:max val="1200"/>
        </c:scaling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44800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layout>
        <c:manualLayout>
          <c:xMode val="edge"/>
          <c:yMode val="edge"/>
          <c:x val="0.48520710059171579"/>
          <c:y val="1.782183353563018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plotArea>
      <c:layout>
        <c:manualLayout>
          <c:layoutTarget val="inner"/>
          <c:xMode val="edge"/>
          <c:yMode val="edge"/>
          <c:x val="6.5088757396449703E-2"/>
          <c:y val="7.1287197640003908E-2"/>
          <c:w val="0.86094674556213013"/>
          <c:h val="0.86732757128671423"/>
        </c:manualLayout>
      </c:layout>
      <c:barChart>
        <c:barDir val="bar"/>
        <c:grouping val="clustered"/>
        <c:ser>
          <c:idx val="0"/>
          <c:order val="0"/>
          <c:tx>
            <c:strRef>
              <c:f>グラフ!$O$186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グラフ!$O$187:$O$287</c:f>
              <c:numCache>
                <c:formatCode>General</c:formatCode>
                <c:ptCount val="101"/>
                <c:pt idx="0">
                  <c:v>710</c:v>
                </c:pt>
                <c:pt idx="1">
                  <c:v>715</c:v>
                </c:pt>
                <c:pt idx="2">
                  <c:v>715</c:v>
                </c:pt>
                <c:pt idx="3">
                  <c:v>671</c:v>
                </c:pt>
                <c:pt idx="4">
                  <c:v>692</c:v>
                </c:pt>
                <c:pt idx="5">
                  <c:v>585</c:v>
                </c:pt>
                <c:pt idx="6">
                  <c:v>679</c:v>
                </c:pt>
                <c:pt idx="7">
                  <c:v>686</c:v>
                </c:pt>
                <c:pt idx="8">
                  <c:v>685</c:v>
                </c:pt>
                <c:pt idx="9">
                  <c:v>727</c:v>
                </c:pt>
                <c:pt idx="10">
                  <c:v>707</c:v>
                </c:pt>
                <c:pt idx="11">
                  <c:v>720</c:v>
                </c:pt>
                <c:pt idx="12">
                  <c:v>682</c:v>
                </c:pt>
                <c:pt idx="13">
                  <c:v>664</c:v>
                </c:pt>
                <c:pt idx="14">
                  <c:v>664</c:v>
                </c:pt>
                <c:pt idx="15">
                  <c:v>701</c:v>
                </c:pt>
                <c:pt idx="16">
                  <c:v>673</c:v>
                </c:pt>
                <c:pt idx="17">
                  <c:v>724</c:v>
                </c:pt>
                <c:pt idx="18">
                  <c:v>652</c:v>
                </c:pt>
                <c:pt idx="19">
                  <c:v>530</c:v>
                </c:pt>
                <c:pt idx="20">
                  <c:v>566</c:v>
                </c:pt>
                <c:pt idx="21">
                  <c:v>526</c:v>
                </c:pt>
                <c:pt idx="22">
                  <c:v>576</c:v>
                </c:pt>
                <c:pt idx="23">
                  <c:v>597</c:v>
                </c:pt>
                <c:pt idx="24">
                  <c:v>658</c:v>
                </c:pt>
                <c:pt idx="25">
                  <c:v>738</c:v>
                </c:pt>
                <c:pt idx="26">
                  <c:v>732</c:v>
                </c:pt>
                <c:pt idx="27">
                  <c:v>761</c:v>
                </c:pt>
                <c:pt idx="28">
                  <c:v>755</c:v>
                </c:pt>
                <c:pt idx="29">
                  <c:v>788</c:v>
                </c:pt>
                <c:pt idx="30">
                  <c:v>766</c:v>
                </c:pt>
                <c:pt idx="31">
                  <c:v>847</c:v>
                </c:pt>
                <c:pt idx="32">
                  <c:v>809</c:v>
                </c:pt>
                <c:pt idx="33">
                  <c:v>845</c:v>
                </c:pt>
                <c:pt idx="34">
                  <c:v>872</c:v>
                </c:pt>
                <c:pt idx="35">
                  <c:v>915</c:v>
                </c:pt>
                <c:pt idx="36">
                  <c:v>1012</c:v>
                </c:pt>
                <c:pt idx="37">
                  <c:v>956</c:v>
                </c:pt>
                <c:pt idx="38">
                  <c:v>933</c:v>
                </c:pt>
                <c:pt idx="39">
                  <c:v>926</c:v>
                </c:pt>
                <c:pt idx="40">
                  <c:v>904</c:v>
                </c:pt>
                <c:pt idx="41">
                  <c:v>845</c:v>
                </c:pt>
                <c:pt idx="42">
                  <c:v>901</c:v>
                </c:pt>
                <c:pt idx="43">
                  <c:v>861</c:v>
                </c:pt>
                <c:pt idx="44">
                  <c:v>702</c:v>
                </c:pt>
                <c:pt idx="45">
                  <c:v>750</c:v>
                </c:pt>
                <c:pt idx="46">
                  <c:v>731</c:v>
                </c:pt>
                <c:pt idx="47">
                  <c:v>801</c:v>
                </c:pt>
                <c:pt idx="48">
                  <c:v>738</c:v>
                </c:pt>
                <c:pt idx="49">
                  <c:v>744</c:v>
                </c:pt>
                <c:pt idx="50">
                  <c:v>703</c:v>
                </c:pt>
                <c:pt idx="51">
                  <c:v>714</c:v>
                </c:pt>
                <c:pt idx="52">
                  <c:v>679</c:v>
                </c:pt>
                <c:pt idx="53">
                  <c:v>683</c:v>
                </c:pt>
                <c:pt idx="54">
                  <c:v>647</c:v>
                </c:pt>
                <c:pt idx="55">
                  <c:v>726</c:v>
                </c:pt>
                <c:pt idx="56">
                  <c:v>736</c:v>
                </c:pt>
                <c:pt idx="57">
                  <c:v>700</c:v>
                </c:pt>
                <c:pt idx="58">
                  <c:v>757</c:v>
                </c:pt>
                <c:pt idx="59">
                  <c:v>768</c:v>
                </c:pt>
                <c:pt idx="60">
                  <c:v>733</c:v>
                </c:pt>
                <c:pt idx="61">
                  <c:v>658</c:v>
                </c:pt>
                <c:pt idx="62">
                  <c:v>739</c:v>
                </c:pt>
                <c:pt idx="63">
                  <c:v>591</c:v>
                </c:pt>
                <c:pt idx="64">
                  <c:v>286</c:v>
                </c:pt>
                <c:pt idx="65">
                  <c:v>344</c:v>
                </c:pt>
                <c:pt idx="66">
                  <c:v>467</c:v>
                </c:pt>
                <c:pt idx="67">
                  <c:v>468</c:v>
                </c:pt>
                <c:pt idx="68">
                  <c:v>463</c:v>
                </c:pt>
                <c:pt idx="69">
                  <c:v>529</c:v>
                </c:pt>
                <c:pt idx="70">
                  <c:v>486</c:v>
                </c:pt>
                <c:pt idx="71">
                  <c:v>471</c:v>
                </c:pt>
                <c:pt idx="72">
                  <c:v>467</c:v>
                </c:pt>
                <c:pt idx="73">
                  <c:v>441</c:v>
                </c:pt>
                <c:pt idx="74">
                  <c:v>471</c:v>
                </c:pt>
                <c:pt idx="75">
                  <c:v>413</c:v>
                </c:pt>
                <c:pt idx="76">
                  <c:v>416</c:v>
                </c:pt>
                <c:pt idx="77">
                  <c:v>337</c:v>
                </c:pt>
                <c:pt idx="78">
                  <c:v>347</c:v>
                </c:pt>
                <c:pt idx="79">
                  <c:v>291</c:v>
                </c:pt>
                <c:pt idx="80">
                  <c:v>271</c:v>
                </c:pt>
                <c:pt idx="81">
                  <c:v>245</c:v>
                </c:pt>
                <c:pt idx="82">
                  <c:v>250</c:v>
                </c:pt>
                <c:pt idx="83">
                  <c:v>215</c:v>
                </c:pt>
                <c:pt idx="84">
                  <c:v>216</c:v>
                </c:pt>
                <c:pt idx="85">
                  <c:v>181</c:v>
                </c:pt>
                <c:pt idx="86">
                  <c:v>153</c:v>
                </c:pt>
                <c:pt idx="87">
                  <c:v>148</c:v>
                </c:pt>
                <c:pt idx="88">
                  <c:v>149</c:v>
                </c:pt>
                <c:pt idx="89">
                  <c:v>112</c:v>
                </c:pt>
                <c:pt idx="90">
                  <c:v>95</c:v>
                </c:pt>
                <c:pt idx="91">
                  <c:v>99</c:v>
                </c:pt>
                <c:pt idx="92">
                  <c:v>74</c:v>
                </c:pt>
                <c:pt idx="93">
                  <c:v>85</c:v>
                </c:pt>
                <c:pt idx="94">
                  <c:v>62</c:v>
                </c:pt>
                <c:pt idx="95">
                  <c:v>48</c:v>
                </c:pt>
                <c:pt idx="96">
                  <c:v>34</c:v>
                </c:pt>
                <c:pt idx="97">
                  <c:v>25</c:v>
                </c:pt>
                <c:pt idx="98">
                  <c:v>15</c:v>
                </c:pt>
                <c:pt idx="99">
                  <c:v>20</c:v>
                </c:pt>
                <c:pt idx="100">
                  <c:v>28</c:v>
                </c:pt>
              </c:numCache>
            </c:numRef>
          </c:val>
        </c:ser>
        <c:axId val="106469248"/>
        <c:axId val="106470784"/>
      </c:barChart>
      <c:catAx>
        <c:axId val="106469248"/>
        <c:scaling>
          <c:orientation val="minMax"/>
        </c:scaling>
        <c:delete val="1"/>
        <c:axPos val="l"/>
        <c:tickLblPos val="none"/>
        <c:crossAx val="106470784"/>
        <c:crosses val="autoZero"/>
        <c:auto val="1"/>
        <c:lblAlgn val="ctr"/>
        <c:lblOffset val="100"/>
      </c:catAx>
      <c:valAx>
        <c:axId val="106470784"/>
        <c:scaling>
          <c:orientation val="minMax"/>
          <c:max val="1200"/>
        </c:scaling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46924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0204096158801253"/>
          <c:y val="4.1269969214934317E-2"/>
          <c:w val="0.83965134106707395"/>
          <c:h val="0.9142885487616212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9.2963889717867215E-3"/>
                  <c:y val="1.333733283339581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歳未満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19%</a:t>
                    </a:r>
                  </a:p>
                </c:rich>
              </c:tx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</c:dLbl>
            <c:dLbl>
              <c:idx val="1"/>
              <c:layout>
                <c:manualLayout>
                  <c:x val="3.8202717228841609E-2"/>
                  <c:y val="-4.8639097793964789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～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歳　 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66%</a:t>
                    </a:r>
                  </a:p>
                </c:rich>
              </c:tx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</c:dLbl>
            <c:dLbl>
              <c:idx val="2"/>
              <c:layout>
                <c:manualLayout>
                  <c:x val="-5.9123221842168104E-3"/>
                  <c:y val="8.5595967170770549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歳以上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15%</a:t>
                    </a:r>
                  </a:p>
                </c:rich>
              </c:tx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  <c:showCatName val="1"/>
            <c:showPercent val="1"/>
          </c:dLbls>
          <c:cat>
            <c:strRef>
              <c:f>グラフ!$H$44:$H$46</c:f>
              <c:strCache>
                <c:ptCount val="3"/>
                <c:pt idx="0">
                  <c:v>15歳未満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グラフ!$I$44:$I$46</c:f>
              <c:numCache>
                <c:formatCode>#,##0;[Red]\-#,##0</c:formatCode>
                <c:ptCount val="3"/>
                <c:pt idx="0">
                  <c:v>10598</c:v>
                </c:pt>
                <c:pt idx="1">
                  <c:v>38061</c:v>
                </c:pt>
                <c:pt idx="2">
                  <c:v>9306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9.7120546608101516E-2"/>
          <c:y val="7.6530612244897961E-2"/>
          <c:w val="0.85993167398731085"/>
          <c:h val="0.72193877551020413"/>
        </c:manualLayout>
      </c:layout>
      <c:lineChart>
        <c:grouping val="standard"/>
        <c:ser>
          <c:idx val="1"/>
          <c:order val="0"/>
          <c:tx>
            <c:strRef>
              <c:f>グラフ!$I$80</c:f>
              <c:strCache>
                <c:ptCount val="1"/>
                <c:pt idx="0">
                  <c:v>人口増加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グラフ!$H$81:$H$91</c:f>
              <c:strCache>
                <c:ptCount val="11"/>
                <c:pt idx="0">
                  <c:v>平成14年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</c:strCache>
            </c:strRef>
          </c:cat>
          <c:val>
            <c:numRef>
              <c:f>グラフ!$I$81:$I$91</c:f>
              <c:numCache>
                <c:formatCode>#,##0;[Red]\-#,##0</c:formatCode>
                <c:ptCount val="11"/>
                <c:pt idx="0">
                  <c:v>692</c:v>
                </c:pt>
                <c:pt idx="1">
                  <c:v>736</c:v>
                </c:pt>
                <c:pt idx="2">
                  <c:v>589</c:v>
                </c:pt>
                <c:pt idx="3">
                  <c:v>947</c:v>
                </c:pt>
                <c:pt idx="4">
                  <c:v>874</c:v>
                </c:pt>
                <c:pt idx="5">
                  <c:v>786</c:v>
                </c:pt>
                <c:pt idx="6">
                  <c:v>689</c:v>
                </c:pt>
                <c:pt idx="7">
                  <c:v>883</c:v>
                </c:pt>
                <c:pt idx="8">
                  <c:v>657</c:v>
                </c:pt>
                <c:pt idx="9">
                  <c:v>727</c:v>
                </c:pt>
                <c:pt idx="10" formatCode="0_ ">
                  <c:v>1573</c:v>
                </c:pt>
              </c:numCache>
            </c:numRef>
          </c:val>
        </c:ser>
        <c:ser>
          <c:idx val="2"/>
          <c:order val="1"/>
          <c:tx>
            <c:strRef>
              <c:f>グラフ!$J$80</c:f>
              <c:strCache>
                <c:ptCount val="1"/>
                <c:pt idx="0">
                  <c:v>自然増加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グラフ!$H$81:$H$91</c:f>
              <c:strCache>
                <c:ptCount val="11"/>
                <c:pt idx="0">
                  <c:v>平成14年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</c:strCache>
            </c:strRef>
          </c:cat>
          <c:val>
            <c:numRef>
              <c:f>グラフ!$J$81:$J$91</c:f>
              <c:numCache>
                <c:formatCode>#,##0;[Red]\-#,##0</c:formatCode>
                <c:ptCount val="11"/>
                <c:pt idx="0">
                  <c:v>1122</c:v>
                </c:pt>
                <c:pt idx="1">
                  <c:v>1143</c:v>
                </c:pt>
                <c:pt idx="2">
                  <c:v>1041</c:v>
                </c:pt>
                <c:pt idx="3">
                  <c:v>975</c:v>
                </c:pt>
                <c:pt idx="4">
                  <c:v>1022</c:v>
                </c:pt>
                <c:pt idx="5">
                  <c:v>908</c:v>
                </c:pt>
                <c:pt idx="6">
                  <c:v>957</c:v>
                </c:pt>
                <c:pt idx="7">
                  <c:v>967</c:v>
                </c:pt>
                <c:pt idx="8">
                  <c:v>853</c:v>
                </c:pt>
                <c:pt idx="9">
                  <c:v>859</c:v>
                </c:pt>
                <c:pt idx="10" formatCode="0_ ">
                  <c:v>899</c:v>
                </c:pt>
              </c:numCache>
            </c:numRef>
          </c:val>
        </c:ser>
        <c:ser>
          <c:idx val="3"/>
          <c:order val="2"/>
          <c:tx>
            <c:strRef>
              <c:f>グラフ!$K$80</c:f>
              <c:strCache>
                <c:ptCount val="1"/>
                <c:pt idx="0">
                  <c:v>社会増加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グラフ!$H$81:$H$91</c:f>
              <c:strCache>
                <c:ptCount val="11"/>
                <c:pt idx="0">
                  <c:v>平成14年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</c:strCache>
            </c:strRef>
          </c:cat>
          <c:val>
            <c:numRef>
              <c:f>グラフ!$K$81:$K$91</c:f>
              <c:numCache>
                <c:formatCode>#,##0_ </c:formatCode>
                <c:ptCount val="11"/>
                <c:pt idx="0">
                  <c:v>-430</c:v>
                </c:pt>
                <c:pt idx="1">
                  <c:v>-407</c:v>
                </c:pt>
                <c:pt idx="2">
                  <c:v>-452</c:v>
                </c:pt>
                <c:pt idx="3">
                  <c:v>-28</c:v>
                </c:pt>
                <c:pt idx="4">
                  <c:v>-148</c:v>
                </c:pt>
                <c:pt idx="5">
                  <c:v>-122</c:v>
                </c:pt>
                <c:pt idx="6">
                  <c:v>-268</c:v>
                </c:pt>
                <c:pt idx="7">
                  <c:v>-84</c:v>
                </c:pt>
                <c:pt idx="8">
                  <c:v>-196</c:v>
                </c:pt>
                <c:pt idx="9">
                  <c:v>-132</c:v>
                </c:pt>
                <c:pt idx="10" formatCode="0_ ">
                  <c:v>674</c:v>
                </c:pt>
              </c:numCache>
            </c:numRef>
          </c:val>
        </c:ser>
        <c:marker val="1"/>
        <c:axId val="105921152"/>
        <c:axId val="105931520"/>
      </c:lineChart>
      <c:catAx>
        <c:axId val="10592115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931520"/>
        <c:crossesAt val="-1000"/>
        <c:auto val="1"/>
        <c:lblAlgn val="ctr"/>
        <c:lblOffset val="100"/>
        <c:tickLblSkip val="1"/>
        <c:tickMarkSkip val="1"/>
      </c:catAx>
      <c:valAx>
        <c:axId val="105931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8.6383601756954573E-2"/>
              <c:y val="2.2278965129358844E-2"/>
            </c:manualLayout>
          </c:layout>
          <c:spPr>
            <a:noFill/>
            <a:ln w="25400">
              <a:noFill/>
            </a:ln>
          </c:spPr>
        </c:title>
        <c:numFmt formatCode="#,##0_ " sourceLinked="0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92115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354319180087848"/>
          <c:y val="0.90000199975003081"/>
          <c:w val="0.49194729136164012"/>
          <c:h val="7.142882139732542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2081531001994346"/>
          <c:y val="9.477021688078463E-2"/>
          <c:w val="0.81513944109841452"/>
          <c:h val="0.71292300041442214"/>
        </c:manualLayout>
      </c:layout>
      <c:lineChart>
        <c:grouping val="standard"/>
        <c:ser>
          <c:idx val="0"/>
          <c:order val="0"/>
          <c:tx>
            <c:strRef>
              <c:f>グラフ!$I$93</c:f>
              <c:strCache>
                <c:ptCount val="1"/>
                <c:pt idx="0">
                  <c:v>出生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グラフ!$H$94:$H$104</c:f>
              <c:strCache>
                <c:ptCount val="11"/>
                <c:pt idx="0">
                  <c:v>平成14年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</c:strCache>
            </c:strRef>
          </c:cat>
          <c:val>
            <c:numRef>
              <c:f>グラフ!$I$94:$I$104</c:f>
              <c:numCache>
                <c:formatCode>#,##0;[Red]\-#,##0</c:formatCode>
                <c:ptCount val="11"/>
                <c:pt idx="0">
                  <c:v>1559</c:v>
                </c:pt>
                <c:pt idx="1">
                  <c:v>1621</c:v>
                </c:pt>
                <c:pt idx="2">
                  <c:v>1542</c:v>
                </c:pt>
                <c:pt idx="3">
                  <c:v>1478</c:v>
                </c:pt>
                <c:pt idx="4">
                  <c:v>1525</c:v>
                </c:pt>
                <c:pt idx="5">
                  <c:v>1503</c:v>
                </c:pt>
                <c:pt idx="6">
                  <c:v>1516</c:v>
                </c:pt>
                <c:pt idx="7">
                  <c:v>1544</c:v>
                </c:pt>
                <c:pt idx="8">
                  <c:v>1507</c:v>
                </c:pt>
                <c:pt idx="9">
                  <c:v>1542</c:v>
                </c:pt>
                <c:pt idx="10" formatCode="_ * #,##0\ ;_ * &quot;△&quot;#,##0\ ;_ * \-_ ;_ @_ ">
                  <c:v>1540</c:v>
                </c:pt>
              </c:numCache>
            </c:numRef>
          </c:val>
        </c:ser>
        <c:ser>
          <c:idx val="1"/>
          <c:order val="1"/>
          <c:tx>
            <c:strRef>
              <c:f>グラフ!$J$93</c:f>
              <c:strCache>
                <c:ptCount val="1"/>
                <c:pt idx="0">
                  <c:v>死亡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グラフ!$H$94:$H$104</c:f>
              <c:strCache>
                <c:ptCount val="11"/>
                <c:pt idx="0">
                  <c:v>平成14年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</c:strCache>
            </c:strRef>
          </c:cat>
          <c:val>
            <c:numRef>
              <c:f>グラフ!$J$94:$J$104</c:f>
              <c:numCache>
                <c:formatCode>#,##0;[Red]\-#,##0</c:formatCode>
                <c:ptCount val="11"/>
                <c:pt idx="0">
                  <c:v>437</c:v>
                </c:pt>
                <c:pt idx="1">
                  <c:v>478</c:v>
                </c:pt>
                <c:pt idx="2">
                  <c:v>501</c:v>
                </c:pt>
                <c:pt idx="3">
                  <c:v>503</c:v>
                </c:pt>
                <c:pt idx="4">
                  <c:v>503</c:v>
                </c:pt>
                <c:pt idx="5">
                  <c:v>595</c:v>
                </c:pt>
                <c:pt idx="6">
                  <c:v>559</c:v>
                </c:pt>
                <c:pt idx="7">
                  <c:v>577</c:v>
                </c:pt>
                <c:pt idx="8">
                  <c:v>654</c:v>
                </c:pt>
                <c:pt idx="9">
                  <c:v>683</c:v>
                </c:pt>
                <c:pt idx="10" formatCode="_ * #,##0\ ;_ * &quot;△&quot;#,##0\ ;_ * \-_ ;_ @_ ">
                  <c:v>641</c:v>
                </c:pt>
              </c:numCache>
            </c:numRef>
          </c:val>
        </c:ser>
        <c:ser>
          <c:idx val="2"/>
          <c:order val="2"/>
          <c:tx>
            <c:strRef>
              <c:f>グラフ!$K$93</c:f>
              <c:strCache>
                <c:ptCount val="1"/>
                <c:pt idx="0">
                  <c:v>転入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グラフ!$H$94:$H$104</c:f>
              <c:strCache>
                <c:ptCount val="11"/>
                <c:pt idx="0">
                  <c:v>平成14年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</c:strCache>
            </c:strRef>
          </c:cat>
          <c:val>
            <c:numRef>
              <c:f>グラフ!$K$94:$K$104</c:f>
              <c:numCache>
                <c:formatCode>#,##0;[Red]\-#,##0</c:formatCode>
                <c:ptCount val="11"/>
                <c:pt idx="0">
                  <c:v>6295</c:v>
                </c:pt>
                <c:pt idx="1">
                  <c:v>6152</c:v>
                </c:pt>
                <c:pt idx="2">
                  <c:v>6092</c:v>
                </c:pt>
                <c:pt idx="3">
                  <c:v>6251</c:v>
                </c:pt>
                <c:pt idx="4">
                  <c:v>6144</c:v>
                </c:pt>
                <c:pt idx="5">
                  <c:v>6076</c:v>
                </c:pt>
                <c:pt idx="6">
                  <c:v>5782</c:v>
                </c:pt>
                <c:pt idx="7">
                  <c:v>5675</c:v>
                </c:pt>
                <c:pt idx="8">
                  <c:v>5698</c:v>
                </c:pt>
                <c:pt idx="9">
                  <c:v>5604</c:v>
                </c:pt>
                <c:pt idx="10" formatCode="_ * #,##0\ ;_ * &quot;△&quot;#,##0\ ;_ * \-_ ;_ @_ ">
                  <c:v>6298</c:v>
                </c:pt>
              </c:numCache>
            </c:numRef>
          </c:val>
        </c:ser>
        <c:ser>
          <c:idx val="3"/>
          <c:order val="3"/>
          <c:tx>
            <c:strRef>
              <c:f>グラフ!$L$93</c:f>
              <c:strCache>
                <c:ptCount val="1"/>
                <c:pt idx="0">
                  <c:v>転出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グラフ!$H$94:$H$104</c:f>
              <c:strCache>
                <c:ptCount val="11"/>
                <c:pt idx="0">
                  <c:v>平成14年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</c:strCache>
            </c:strRef>
          </c:cat>
          <c:val>
            <c:numRef>
              <c:f>グラフ!$L$94:$L$104</c:f>
              <c:numCache>
                <c:formatCode>#,##0;[Red]\-#,##0</c:formatCode>
                <c:ptCount val="11"/>
                <c:pt idx="0">
                  <c:v>6725</c:v>
                </c:pt>
                <c:pt idx="1">
                  <c:v>6559</c:v>
                </c:pt>
                <c:pt idx="2">
                  <c:v>6544</c:v>
                </c:pt>
                <c:pt idx="3">
                  <c:v>6279</c:v>
                </c:pt>
                <c:pt idx="4">
                  <c:v>6292</c:v>
                </c:pt>
                <c:pt idx="5">
                  <c:v>6198</c:v>
                </c:pt>
                <c:pt idx="6">
                  <c:v>6050</c:v>
                </c:pt>
                <c:pt idx="7">
                  <c:v>5759</c:v>
                </c:pt>
                <c:pt idx="8">
                  <c:v>5894</c:v>
                </c:pt>
                <c:pt idx="9" formatCode="#,##0_ ">
                  <c:v>5736</c:v>
                </c:pt>
                <c:pt idx="10" formatCode="_ * #,##0\ ;_ * &quot;△&quot;#,##0\ ;_ * \-_ ;_ @_ ">
                  <c:v>5624</c:v>
                </c:pt>
              </c:numCache>
            </c:numRef>
          </c:val>
        </c:ser>
        <c:marker val="1"/>
        <c:axId val="105969920"/>
        <c:axId val="106033536"/>
      </c:lineChart>
      <c:catAx>
        <c:axId val="105969920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033536"/>
        <c:crosses val="autoZero"/>
        <c:auto val="1"/>
        <c:lblAlgn val="ctr"/>
        <c:lblOffset val="100"/>
        <c:tickLblSkip val="1"/>
        <c:tickMarkSkip val="1"/>
      </c:catAx>
      <c:valAx>
        <c:axId val="106033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1790408295032995"/>
              <c:y val="4.2189473684210527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969920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64222703603079"/>
          <c:y val="0.9027158822341782"/>
          <c:w val="0.5181958150427709"/>
          <c:h val="9.049773755656072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0186520765978613"/>
          <c:y val="7.1925754060324795E-2"/>
          <c:w val="0.78766195782003634"/>
          <c:h val="0.76102088167053406"/>
        </c:manualLayout>
      </c:layout>
      <c:barChart>
        <c:barDir val="col"/>
        <c:grouping val="stacked"/>
        <c:ser>
          <c:idx val="0"/>
          <c:order val="0"/>
          <c:tx>
            <c:strRef>
              <c:f>グラフ!$I$124</c:f>
              <c:strCache>
                <c:ptCount val="1"/>
                <c:pt idx="0">
                  <c:v>男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グラフ!$H$125:$H$134</c:f>
              <c:strCache>
                <c:ptCount val="10"/>
                <c:pt idx="0">
                  <c:v>40年</c:v>
                </c:pt>
                <c:pt idx="1">
                  <c:v>45年</c:v>
                </c:pt>
                <c:pt idx="2">
                  <c:v>50年</c:v>
                </c:pt>
                <c:pt idx="3">
                  <c:v>55年</c:v>
                </c:pt>
                <c:pt idx="4">
                  <c:v>60年</c:v>
                </c:pt>
                <c:pt idx="5">
                  <c:v>平成２年</c:v>
                </c:pt>
                <c:pt idx="6">
                  <c:v>７年</c:v>
                </c:pt>
                <c:pt idx="7">
                  <c:v>12年</c:v>
                </c:pt>
                <c:pt idx="8">
                  <c:v>17年</c:v>
                </c:pt>
                <c:pt idx="9">
                  <c:v>22年</c:v>
                </c:pt>
              </c:strCache>
            </c:strRef>
          </c:cat>
          <c:val>
            <c:numRef>
              <c:f>グラフ!$I$125:$I$134</c:f>
              <c:numCache>
                <c:formatCode>#,##0;[Red]\-#,##0</c:formatCode>
                <c:ptCount val="10"/>
                <c:pt idx="0">
                  <c:v>14891</c:v>
                </c:pt>
                <c:pt idx="1">
                  <c:v>20362</c:v>
                </c:pt>
                <c:pt idx="2">
                  <c:v>29382</c:v>
                </c:pt>
                <c:pt idx="3">
                  <c:v>34773</c:v>
                </c:pt>
                <c:pt idx="4">
                  <c:v>40547</c:v>
                </c:pt>
                <c:pt idx="5">
                  <c:v>44316</c:v>
                </c:pt>
                <c:pt idx="6">
                  <c:v>47360</c:v>
                </c:pt>
                <c:pt idx="7">
                  <c:v>50440</c:v>
                </c:pt>
                <c:pt idx="8">
                  <c:v>52128</c:v>
                </c:pt>
                <c:pt idx="9">
                  <c:v>53948</c:v>
                </c:pt>
              </c:numCache>
            </c:numRef>
          </c:val>
        </c:ser>
        <c:ser>
          <c:idx val="1"/>
          <c:order val="1"/>
          <c:tx>
            <c:strRef>
              <c:f>グラフ!$J$124</c:f>
              <c:strCache>
                <c:ptCount val="1"/>
                <c:pt idx="0">
                  <c:v>女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グラフ!$H$125:$H$134</c:f>
              <c:strCache>
                <c:ptCount val="10"/>
                <c:pt idx="0">
                  <c:v>40年</c:v>
                </c:pt>
                <c:pt idx="1">
                  <c:v>45年</c:v>
                </c:pt>
                <c:pt idx="2">
                  <c:v>50年</c:v>
                </c:pt>
                <c:pt idx="3">
                  <c:v>55年</c:v>
                </c:pt>
                <c:pt idx="4">
                  <c:v>60年</c:v>
                </c:pt>
                <c:pt idx="5">
                  <c:v>平成２年</c:v>
                </c:pt>
                <c:pt idx="6">
                  <c:v>７年</c:v>
                </c:pt>
                <c:pt idx="7">
                  <c:v>12年</c:v>
                </c:pt>
                <c:pt idx="8">
                  <c:v>17年</c:v>
                </c:pt>
                <c:pt idx="9">
                  <c:v>22年</c:v>
                </c:pt>
              </c:strCache>
            </c:strRef>
          </c:cat>
          <c:val>
            <c:numRef>
              <c:f>グラフ!$J$125:$J$134</c:f>
              <c:numCache>
                <c:formatCode>#,##0;[Red]\-#,##0</c:formatCode>
                <c:ptCount val="10"/>
                <c:pt idx="0">
                  <c:v>15930</c:v>
                </c:pt>
                <c:pt idx="1">
                  <c:v>21406</c:v>
                </c:pt>
                <c:pt idx="2">
                  <c:v>29907</c:v>
                </c:pt>
                <c:pt idx="3">
                  <c:v>35509</c:v>
                </c:pt>
                <c:pt idx="4">
                  <c:v>41064</c:v>
                </c:pt>
                <c:pt idx="5">
                  <c:v>45678</c:v>
                </c:pt>
                <c:pt idx="6">
                  <c:v>48642</c:v>
                </c:pt>
                <c:pt idx="7">
                  <c:v>52294</c:v>
                </c:pt>
                <c:pt idx="8">
                  <c:v>53921</c:v>
                </c:pt>
                <c:pt idx="9" formatCode="_ * #,##0_ ;_ * &quot;△&quot;#,##0_ ;_ * \-_ ;_ @_ ">
                  <c:v>56403</c:v>
                </c:pt>
              </c:numCache>
            </c:numRef>
          </c:val>
        </c:ser>
        <c:gapWidth val="40"/>
        <c:overlap val="100"/>
        <c:axId val="106224640"/>
        <c:axId val="106337408"/>
      </c:barChart>
      <c:lineChart>
        <c:grouping val="standard"/>
        <c:ser>
          <c:idx val="2"/>
          <c:order val="2"/>
          <c:tx>
            <c:strRef>
              <c:f>グラフ!$K$124</c:f>
              <c:strCache>
                <c:ptCount val="1"/>
                <c:pt idx="0">
                  <c:v>増加率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グラフ!$H$125:$H$134</c:f>
              <c:strCache>
                <c:ptCount val="10"/>
                <c:pt idx="0">
                  <c:v>40年</c:v>
                </c:pt>
                <c:pt idx="1">
                  <c:v>45年</c:v>
                </c:pt>
                <c:pt idx="2">
                  <c:v>50年</c:v>
                </c:pt>
                <c:pt idx="3">
                  <c:v>55年</c:v>
                </c:pt>
                <c:pt idx="4">
                  <c:v>60年</c:v>
                </c:pt>
                <c:pt idx="5">
                  <c:v>平成２年</c:v>
                </c:pt>
                <c:pt idx="6">
                  <c:v>７年</c:v>
                </c:pt>
                <c:pt idx="7">
                  <c:v>12年</c:v>
                </c:pt>
                <c:pt idx="8">
                  <c:v>17年</c:v>
                </c:pt>
                <c:pt idx="9">
                  <c:v>22年</c:v>
                </c:pt>
              </c:strCache>
            </c:strRef>
          </c:cat>
          <c:val>
            <c:numRef>
              <c:f>グラフ!$K$125:$K$134</c:f>
              <c:numCache>
                <c:formatCode>0.00_);[Red]\(0.00\)</c:formatCode>
                <c:ptCount val="10"/>
                <c:pt idx="0">
                  <c:v>25.74</c:v>
                </c:pt>
                <c:pt idx="1">
                  <c:v>35.520000000000003</c:v>
                </c:pt>
                <c:pt idx="2">
                  <c:v>41.95</c:v>
                </c:pt>
                <c:pt idx="3">
                  <c:v>18.54</c:v>
                </c:pt>
                <c:pt idx="4">
                  <c:v>16.12</c:v>
                </c:pt>
                <c:pt idx="5">
                  <c:v>10.27</c:v>
                </c:pt>
                <c:pt idx="6">
                  <c:v>6.68</c:v>
                </c:pt>
                <c:pt idx="7">
                  <c:v>7.01</c:v>
                </c:pt>
                <c:pt idx="8">
                  <c:v>3.23</c:v>
                </c:pt>
                <c:pt idx="9">
                  <c:v>4.0599999999999996</c:v>
                </c:pt>
              </c:numCache>
            </c:numRef>
          </c:val>
        </c:ser>
        <c:marker val="1"/>
        <c:axId val="106339328"/>
        <c:axId val="106353408"/>
      </c:lineChart>
      <c:catAx>
        <c:axId val="106224640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337408"/>
        <c:crosses val="autoZero"/>
        <c:auto val="1"/>
        <c:lblAlgn val="ctr"/>
        <c:lblOffset val="100"/>
        <c:tickLblSkip val="1"/>
        <c:tickMarkSkip val="1"/>
      </c:catAx>
      <c:valAx>
        <c:axId val="1063374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3148062374556195E-2"/>
              <c:y val="1.6624038168349689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224640"/>
        <c:crosses val="autoZero"/>
        <c:crossBetween val="between"/>
      </c:valAx>
      <c:catAx>
        <c:axId val="106339328"/>
        <c:scaling>
          <c:orientation val="minMax"/>
        </c:scaling>
        <c:delete val="1"/>
        <c:axPos val="b"/>
        <c:tickLblPos val="none"/>
        <c:crossAx val="106353408"/>
        <c:crossesAt val="0"/>
        <c:auto val="1"/>
        <c:lblAlgn val="ctr"/>
        <c:lblOffset val="100"/>
      </c:catAx>
      <c:valAx>
        <c:axId val="106353408"/>
        <c:scaling>
          <c:orientation val="minMax"/>
          <c:max val="50"/>
          <c:min val="0"/>
        </c:scaling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6584785940494902"/>
              <c:y val="2.2698449709731613E-2"/>
            </c:manualLayout>
          </c:layout>
          <c:spPr>
            <a:noFill/>
            <a:ln w="25400">
              <a:noFill/>
            </a:ln>
          </c:spPr>
        </c:title>
        <c:numFmt formatCode="0_);[Red]\(0\)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339328"/>
        <c:crosses val="max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46628407460577"/>
          <c:y val="0.91571753986332549"/>
          <c:w val="0.46341463414634138"/>
          <c:h val="7.517084282460140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view3D>
      <c:hPercent val="102"/>
      <c:depthPercent val="130"/>
      <c:rAngAx val="1"/>
    </c:view3D>
    <c:floor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8324053111424"/>
          <c:y val="1.6632033515821446E-2"/>
          <c:w val="0.84461359603499975"/>
          <c:h val="0.76923155010674182"/>
        </c:manualLayout>
      </c:layout>
      <c:bar3DChart>
        <c:barDir val="col"/>
        <c:grouping val="clustered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3.2334625684479826E-2"/>
                  <c:y val="4.5950711303319094E-3"/>
                </c:manualLayout>
              </c:layout>
              <c:showVal val="1"/>
            </c:dLbl>
            <c:dLbl>
              <c:idx val="1"/>
              <c:layout>
                <c:manualLayout>
                  <c:x val="1.6461888964387085E-2"/>
                  <c:y val="9.4782244123204542E-3"/>
                </c:manualLayout>
              </c:layout>
              <c:showVal val="1"/>
            </c:dLbl>
            <c:dLbl>
              <c:idx val="2"/>
              <c:layout>
                <c:manualLayout>
                  <c:x val="1.074143650825372E-2"/>
                  <c:y val="1.3014697014076699E-2"/>
                </c:manualLayout>
              </c:layout>
              <c:showVal val="1"/>
            </c:dLbl>
            <c:dLbl>
              <c:idx val="3"/>
              <c:layout>
                <c:manualLayout>
                  <c:x val="1.0097126184100113E-2"/>
                  <c:y val="3.7554058477919754E-3"/>
                </c:manualLayout>
              </c:layout>
              <c:showVal val="1"/>
            </c:dLbl>
            <c:dLbl>
              <c:idx val="4"/>
              <c:layout>
                <c:manualLayout>
                  <c:x val="1.1990886925936261E-2"/>
                  <c:y val="-3.4804183393925256E-4"/>
                </c:manualLayout>
              </c:layout>
              <c:showVal val="1"/>
            </c:dLbl>
            <c:dLbl>
              <c:idx val="5"/>
              <c:layout>
                <c:manualLayout>
                  <c:x val="1.642271873376239E-2"/>
                  <c:y val="6.001481762263226E-3"/>
                </c:manualLayout>
              </c:layout>
              <c:showVal val="1"/>
            </c:dLbl>
            <c:dLbl>
              <c:idx val="6"/>
              <c:layout>
                <c:manualLayout>
                  <c:x val="1.0702266277628996E-2"/>
                  <c:y val="1.1333298873745816E-2"/>
                </c:manualLayout>
              </c:layout>
              <c:showVal val="1"/>
            </c:dLbl>
            <c:dLbl>
              <c:idx val="7"/>
              <c:layout>
                <c:manualLayout>
                  <c:x val="1.2596027019465262E-2"/>
                  <c:y val="6.0593738692947905E-3"/>
                </c:manualLayout>
              </c:layout>
              <c:showVal val="1"/>
            </c:dLbl>
            <c:dLbl>
              <c:idx val="8"/>
              <c:layout>
                <c:manualLayout>
                  <c:x val="1.7027858827291246E-2"/>
                  <c:y val="1.1782192433823165E-2"/>
                </c:manualLayout>
              </c:layout>
              <c:showVal val="1"/>
            </c:dLbl>
            <c:dLbl>
              <c:idx val="9"/>
              <c:layout>
                <c:manualLayout>
                  <c:x val="1.6383548503137658E-2"/>
                  <c:y val="1.5709666488625401E-2"/>
                </c:manualLayout>
              </c:layout>
              <c:showVal val="1"/>
            </c:dLbl>
            <c:dLbl>
              <c:idx val="10"/>
              <c:layout>
                <c:manualLayout>
                  <c:x val="2.0815380310963659E-2"/>
                  <c:y val="1.0435741484174362E-2"/>
                </c:manualLayout>
              </c:layout>
              <c:showVal val="1"/>
            </c:dLbl>
            <c:dLbl>
              <c:idx val="11"/>
              <c:layout>
                <c:manualLayout>
                  <c:x val="2.0171336450963993E-2"/>
                  <c:y val="5.1618164797233414E-3"/>
                </c:manualLayout>
              </c:layout>
              <c:showVal val="1"/>
            </c:dLbl>
            <c:dLbl>
              <c:idx val="12"/>
              <c:layout>
                <c:manualLayout>
                  <c:x val="1.4450883994830637E-2"/>
                  <c:y val="1.0435741484174362E-2"/>
                </c:manualLayout>
              </c:layout>
              <c:showVal val="1"/>
            </c:dLbl>
            <c:dLbl>
              <c:idx val="13"/>
              <c:layout>
                <c:manualLayout>
                  <c:x val="1.8882715802656751E-2"/>
                  <c:y val="-1.4089376683494117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グラフ!$H$17:$H$30</c:f>
              <c:strCache>
                <c:ptCount val="14"/>
                <c:pt idx="0">
                  <c:v>米　国</c:v>
                </c:pt>
                <c:pt idx="1">
                  <c:v>中　国</c:v>
                </c:pt>
                <c:pt idx="2">
                  <c:v>韓国・朝鮮</c:v>
                </c:pt>
                <c:pt idx="3">
                  <c:v>フィリピン</c:v>
                </c:pt>
                <c:pt idx="4">
                  <c:v>ネパール</c:v>
                </c:pt>
                <c:pt idx="5">
                  <c:v>ベトナム</c:v>
                </c:pt>
                <c:pt idx="6">
                  <c:v>タイ</c:v>
                </c:pt>
                <c:pt idx="7">
                  <c:v>カナダ</c:v>
                </c:pt>
                <c:pt idx="8">
                  <c:v>ブラジル</c:v>
                </c:pt>
                <c:pt idx="9">
                  <c:v>アルゼンチン</c:v>
                </c:pt>
                <c:pt idx="10">
                  <c:v>ペルー</c:v>
                </c:pt>
                <c:pt idx="11">
                  <c:v>ボリビア</c:v>
                </c:pt>
                <c:pt idx="12">
                  <c:v>英国</c:v>
                </c:pt>
                <c:pt idx="13">
                  <c:v>その他</c:v>
                </c:pt>
              </c:strCache>
            </c:strRef>
          </c:cat>
          <c:val>
            <c:numRef>
              <c:f>グラフ!$I$17:$I$30</c:f>
              <c:numCache>
                <c:formatCode>#,##0;[Red]\-#,##0</c:formatCode>
                <c:ptCount val="14"/>
                <c:pt idx="0">
                  <c:v>107</c:v>
                </c:pt>
                <c:pt idx="1">
                  <c:v>74</c:v>
                </c:pt>
                <c:pt idx="2">
                  <c:v>38</c:v>
                </c:pt>
                <c:pt idx="3">
                  <c:v>71</c:v>
                </c:pt>
                <c:pt idx="4">
                  <c:v>213</c:v>
                </c:pt>
                <c:pt idx="5">
                  <c:v>37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118</c:v>
                </c:pt>
              </c:numCache>
            </c:numRef>
          </c:val>
        </c:ser>
        <c:dLbls>
          <c:showVal val="1"/>
        </c:dLbls>
        <c:gapWidth val="110"/>
        <c:gapDepth val="120"/>
        <c:shape val="box"/>
        <c:axId val="106275968"/>
        <c:axId val="106277504"/>
        <c:axId val="0"/>
      </c:bar3DChart>
      <c:catAx>
        <c:axId val="106275968"/>
        <c:scaling>
          <c:orientation val="minMax"/>
        </c:scaling>
        <c:axPos val="b"/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277504"/>
        <c:crosses val="autoZero"/>
        <c:auto val="1"/>
        <c:lblAlgn val="ctr"/>
        <c:lblOffset val="100"/>
        <c:tickLblSkip val="1"/>
        <c:tickMarkSkip val="1"/>
      </c:catAx>
      <c:valAx>
        <c:axId val="106277504"/>
        <c:scaling>
          <c:orientation val="minMax"/>
          <c:max val="24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5.9138923424045711E-2"/>
              <c:y val="1.8962681639846997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275968"/>
        <c:crosses val="autoZero"/>
        <c:crossBetween val="between"/>
        <c:majorUnit val="30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6.1855670103092793E-2"/>
          <c:y val="8.88324873096447E-2"/>
          <c:w val="0.89003436426116789"/>
          <c:h val="0.80964467005076202"/>
        </c:manualLayout>
      </c:layout>
      <c:barChart>
        <c:barDir val="col"/>
        <c:grouping val="percentStacked"/>
        <c:ser>
          <c:idx val="1"/>
          <c:order val="0"/>
          <c:tx>
            <c:strRef>
              <c:f>グラフ!$I$155</c:f>
              <c:strCache>
                <c:ptCount val="1"/>
                <c:pt idx="0">
                  <c:v>人口集中地区</c:v>
                </c:pt>
              </c:strCache>
            </c:strRef>
          </c:tx>
          <c:spPr>
            <a:pattFill prst="pct2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グラフ!$H$156:$H$157</c:f>
              <c:strCache>
                <c:ptCount val="2"/>
                <c:pt idx="0">
                  <c:v>面積</c:v>
                </c:pt>
                <c:pt idx="1">
                  <c:v>人口</c:v>
                </c:pt>
              </c:strCache>
            </c:strRef>
          </c:cat>
          <c:val>
            <c:numRef>
              <c:f>グラフ!$I$156:$I$157</c:f>
              <c:numCache>
                <c:formatCode>#.0"%"</c:formatCode>
                <c:ptCount val="2"/>
                <c:pt idx="0">
                  <c:v>63.226820324777378</c:v>
                </c:pt>
                <c:pt idx="1">
                  <c:v>96.462197895805204</c:v>
                </c:pt>
              </c:numCache>
            </c:numRef>
          </c:val>
        </c:ser>
        <c:ser>
          <c:idx val="0"/>
          <c:order val="1"/>
          <c:tx>
            <c:strRef>
              <c:f>グラフ!$J$155</c:f>
              <c:strCache>
                <c:ptCount val="1"/>
                <c:pt idx="0">
                  <c:v>人口集中地区外</c:v>
                </c:pt>
              </c:strCache>
            </c:strRef>
          </c:tx>
          <c:spPr>
            <a:pattFill prst="ltDnDiag">
              <a:fgClr>
                <a:srgbClr val="FF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pct10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グラフ!$H$156:$H$157</c:f>
              <c:strCache>
                <c:ptCount val="2"/>
                <c:pt idx="0">
                  <c:v>面積</c:v>
                </c:pt>
                <c:pt idx="1">
                  <c:v>人口</c:v>
                </c:pt>
              </c:strCache>
            </c:strRef>
          </c:cat>
          <c:val>
            <c:numRef>
              <c:f>グラフ!$J$156:$J$157</c:f>
              <c:numCache>
                <c:formatCode>#.0"%"</c:formatCode>
                <c:ptCount val="2"/>
                <c:pt idx="0">
                  <c:v>36.773179675222622</c:v>
                </c:pt>
                <c:pt idx="1">
                  <c:v>3.537802104194796</c:v>
                </c:pt>
              </c:numCache>
            </c:numRef>
          </c:val>
        </c:ser>
        <c:dLbls>
          <c:showVal val="1"/>
        </c:dLbls>
        <c:gapWidth val="20"/>
        <c:overlap val="100"/>
        <c:serLines>
          <c:spPr>
            <a:ln w="3175">
              <a:solidFill>
                <a:srgbClr val="FFFFFF"/>
              </a:solidFill>
              <a:prstDash val="sysDash"/>
            </a:ln>
          </c:spPr>
        </c:serLines>
        <c:axId val="106393984"/>
        <c:axId val="106395520"/>
      </c:barChart>
      <c:catAx>
        <c:axId val="106393984"/>
        <c:scaling>
          <c:orientation val="minMax"/>
        </c:scaling>
        <c:axPos val="t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395520"/>
        <c:crosses val="max"/>
        <c:auto val="1"/>
        <c:lblAlgn val="ctr"/>
        <c:lblOffset val="100"/>
        <c:tickLblSkip val="1"/>
        <c:tickMarkSkip val="1"/>
      </c:catAx>
      <c:valAx>
        <c:axId val="106395520"/>
        <c:scaling>
          <c:orientation val="minMax"/>
        </c:scaling>
        <c:axPos val="l"/>
        <c:numFmt formatCode="0%" sourceLinked="1"/>
        <c:maj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063939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120274914089357"/>
          <c:y val="0.92893401015228461"/>
          <c:w val="0.71477663230240585"/>
          <c:h val="6.3451776649746022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7.670454545454547E-2"/>
          <c:y val="6.3091482649842323E-2"/>
          <c:w val="0.80681818181818177"/>
          <c:h val="0.8958990536277607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0571462658076892E-2"/>
                  <c:y val="1.005655050216512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歳未満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21%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</c:dLbl>
            <c:dLbl>
              <c:idx val="1"/>
              <c:layout>
                <c:manualLayout>
                  <c:x val="6.4841028394177977E-2"/>
                  <c:y val="-2.542636429121440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～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67%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</c:dLbl>
            <c:dLbl>
              <c:idx val="2"/>
              <c:layout>
                <c:manualLayout>
                  <c:x val="-1.1942555476020076E-2"/>
                  <c:y val="-7.8544756037987225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歳以上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12%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</c:dLbl>
            <c:numFmt formatCode="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  <c:showCatName val="1"/>
            <c:showPercent val="1"/>
          </c:dLbls>
          <c:cat>
            <c:strRef>
              <c:f>グラフ!$H$38:$H$40</c:f>
              <c:strCache>
                <c:ptCount val="3"/>
                <c:pt idx="0">
                  <c:v>15歳未満</c:v>
                </c:pt>
                <c:pt idx="1">
                  <c:v>15～64歳</c:v>
                </c:pt>
                <c:pt idx="2">
                  <c:v>65歳以上</c:v>
                </c:pt>
              </c:strCache>
            </c:strRef>
          </c:cat>
          <c:val>
            <c:numRef>
              <c:f>グラフ!$I$38:$I$40</c:f>
              <c:numCache>
                <c:formatCode>#,##0;[Red]\-#,##0</c:formatCode>
                <c:ptCount val="3"/>
                <c:pt idx="0">
                  <c:v>11142</c:v>
                </c:pt>
                <c:pt idx="1">
                  <c:v>37329</c:v>
                </c:pt>
                <c:pt idx="2">
                  <c:v>7309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445045920225994"/>
          <c:y val="6.9977426636568904E-2"/>
          <c:w val="0.83246179705624779"/>
          <c:h val="0.77878103837471879"/>
        </c:manualLayout>
      </c:layout>
      <c:barChart>
        <c:barDir val="col"/>
        <c:grouping val="stacked"/>
        <c:ser>
          <c:idx val="0"/>
          <c:order val="0"/>
          <c:tx>
            <c:strRef>
              <c:f>グラフ!$I$195</c:f>
              <c:strCache>
                <c:ptCount val="1"/>
                <c:pt idx="0">
                  <c:v>持ち家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グラフ!$H$196:$H$198</c:f>
              <c:strCache>
                <c:ptCount val="3"/>
                <c:pt idx="0">
                  <c:v>平成12年</c:v>
                </c:pt>
                <c:pt idx="1">
                  <c:v>17年</c:v>
                </c:pt>
                <c:pt idx="2">
                  <c:v>22年</c:v>
                </c:pt>
              </c:strCache>
            </c:strRef>
          </c:cat>
          <c:val>
            <c:numRef>
              <c:f>グラフ!$I$196:$I$198</c:f>
              <c:numCache>
                <c:formatCode>#,##0;[Red]\-#,##0</c:formatCode>
                <c:ptCount val="3"/>
                <c:pt idx="0">
                  <c:v>15258</c:v>
                </c:pt>
                <c:pt idx="1">
                  <c:v>16350</c:v>
                </c:pt>
                <c:pt idx="2">
                  <c:v>16933</c:v>
                </c:pt>
              </c:numCache>
            </c:numRef>
          </c:val>
        </c:ser>
        <c:ser>
          <c:idx val="1"/>
          <c:order val="1"/>
          <c:tx>
            <c:strRef>
              <c:f>グラフ!$J$195</c:f>
              <c:strCache>
                <c:ptCount val="1"/>
                <c:pt idx="0">
                  <c:v>借家</c:v>
                </c:pt>
              </c:strCache>
            </c:strRef>
          </c:tx>
          <c:spPr>
            <a:pattFill prst="wdUpDiag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グラフ!$H$196:$H$198</c:f>
              <c:strCache>
                <c:ptCount val="3"/>
                <c:pt idx="0">
                  <c:v>平成12年</c:v>
                </c:pt>
                <c:pt idx="1">
                  <c:v>17年</c:v>
                </c:pt>
                <c:pt idx="2">
                  <c:v>22年</c:v>
                </c:pt>
              </c:strCache>
            </c:strRef>
          </c:cat>
          <c:val>
            <c:numRef>
              <c:f>グラフ!$J$196:$J$198</c:f>
              <c:numCache>
                <c:formatCode>#,##0;[Red]\-#,##0</c:formatCode>
                <c:ptCount val="3"/>
                <c:pt idx="0">
                  <c:v>17057</c:v>
                </c:pt>
                <c:pt idx="1">
                  <c:v>20157</c:v>
                </c:pt>
                <c:pt idx="2">
                  <c:v>21936</c:v>
                </c:pt>
              </c:numCache>
            </c:numRef>
          </c:val>
        </c:ser>
        <c:ser>
          <c:idx val="2"/>
          <c:order val="2"/>
          <c:tx>
            <c:strRef>
              <c:f>グラフ!$K$195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trellis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8.741043001303319E-3"/>
                  <c:y val="3.0628423220373452E-3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グラフ!$H$196:$H$198</c:f>
              <c:strCache>
                <c:ptCount val="3"/>
                <c:pt idx="0">
                  <c:v>平成12年</c:v>
                </c:pt>
                <c:pt idx="1">
                  <c:v>17年</c:v>
                </c:pt>
                <c:pt idx="2">
                  <c:v>22年</c:v>
                </c:pt>
              </c:strCache>
            </c:strRef>
          </c:cat>
          <c:val>
            <c:numRef>
              <c:f>グラフ!$K$196:$K$198</c:f>
              <c:numCache>
                <c:formatCode>#,##0;[Red]\-#,##0</c:formatCode>
                <c:ptCount val="3"/>
                <c:pt idx="0">
                  <c:v>2053</c:v>
                </c:pt>
                <c:pt idx="1">
                  <c:v>1679</c:v>
                </c:pt>
                <c:pt idx="2">
                  <c:v>1825</c:v>
                </c:pt>
              </c:numCache>
            </c:numRef>
          </c:val>
        </c:ser>
        <c:dLbls>
          <c:showVal val="1"/>
        </c:dLbls>
        <c:gapWidth val="30"/>
        <c:overlap val="100"/>
        <c:axId val="106532224"/>
        <c:axId val="106542208"/>
      </c:barChart>
      <c:catAx>
        <c:axId val="10653222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542208"/>
        <c:crosses val="autoZero"/>
        <c:lblAlgn val="ctr"/>
        <c:lblOffset val="100"/>
        <c:tickLblSkip val="1"/>
        <c:tickMarkSkip val="1"/>
      </c:catAx>
      <c:valAx>
        <c:axId val="106542208"/>
        <c:scaling>
          <c:orientation val="minMax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世帯</a:t>
                </a:r>
              </a:p>
            </c:rich>
          </c:tx>
          <c:layout>
            <c:manualLayout>
              <c:xMode val="edge"/>
              <c:yMode val="edge"/>
              <c:x val="0.13874373033213794"/>
              <c:y val="2.0316027088036127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5322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06282722513089"/>
          <c:y val="0.91196388261851058"/>
          <c:w val="0.7408376963350789"/>
          <c:h val="7.2234762979684008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orientation="landscape" horizontalDpi="300" verticalDpi="300"/>
  </c:printSettings>
</c:chartSpac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53</xdr:row>
      <xdr:rowOff>0</xdr:rowOff>
    </xdr:from>
    <xdr:to>
      <xdr:col>21</xdr:col>
      <xdr:colOff>342900</xdr:colOff>
      <xdr:row>54</xdr:row>
      <xdr:rowOff>19050</xdr:rowOff>
    </xdr:to>
    <xdr:sp macro="" textlink="">
      <xdr:nvSpPr>
        <xdr:cNvPr id="8193" name="Text Box 2"/>
        <xdr:cNvSpPr txBox="1">
          <a:spLocks noChangeArrowheads="1"/>
        </xdr:cNvSpPr>
      </xdr:nvSpPr>
      <xdr:spPr bwMode="auto">
        <a:xfrm>
          <a:off x="10801350" y="10601325"/>
          <a:ext cx="1847850" cy="2095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49</xdr:row>
      <xdr:rowOff>152400</xdr:rowOff>
    </xdr:from>
    <xdr:to>
      <xdr:col>22</xdr:col>
      <xdr:colOff>714375</xdr:colOff>
      <xdr:row>52</xdr:row>
      <xdr:rowOff>19050</xdr:rowOff>
    </xdr:to>
    <xdr:sp macro="" textlink="" fLocksText="0">
      <xdr:nvSpPr>
        <xdr:cNvPr id="7170" name="Rectangle 11"/>
        <xdr:cNvSpPr>
          <a:spLocks noChangeArrowheads="1"/>
        </xdr:cNvSpPr>
      </xdr:nvSpPr>
      <xdr:spPr bwMode="auto">
        <a:xfrm>
          <a:off x="13668375" y="10106025"/>
          <a:ext cx="428625" cy="4381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2736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16</xdr:col>
      <xdr:colOff>438150</xdr:colOff>
      <xdr:row>49</xdr:row>
      <xdr:rowOff>142875</xdr:rowOff>
    </xdr:from>
    <xdr:to>
      <xdr:col>17</xdr:col>
      <xdr:colOff>104775</xdr:colOff>
      <xdr:row>51</xdr:row>
      <xdr:rowOff>180975</xdr:rowOff>
    </xdr:to>
    <xdr:sp macro="" textlink="" fLocksText="0">
      <xdr:nvSpPr>
        <xdr:cNvPr id="7171" name="Rectangle 12"/>
        <xdr:cNvSpPr>
          <a:spLocks noChangeArrowheads="1"/>
        </xdr:cNvSpPr>
      </xdr:nvSpPr>
      <xdr:spPr bwMode="auto">
        <a:xfrm>
          <a:off x="10010775" y="10096500"/>
          <a:ext cx="381000" cy="4191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2736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</xdr:txBody>
    </xdr:sp>
    <xdr:clientData/>
  </xdr:twoCellAnchor>
  <xdr:twoCellAnchor>
    <xdr:from>
      <xdr:col>22</xdr:col>
      <xdr:colOff>28575</xdr:colOff>
      <xdr:row>49</xdr:row>
      <xdr:rowOff>9525</xdr:rowOff>
    </xdr:from>
    <xdr:to>
      <xdr:col>22</xdr:col>
      <xdr:colOff>257175</xdr:colOff>
      <xdr:row>52</xdr:row>
      <xdr:rowOff>152400</xdr:rowOff>
    </xdr:to>
    <xdr:sp macro="" textlink="">
      <xdr:nvSpPr>
        <xdr:cNvPr id="8196" name="AutoShape 26"/>
        <xdr:cNvSpPr>
          <a:spLocks/>
        </xdr:cNvSpPr>
      </xdr:nvSpPr>
      <xdr:spPr bwMode="auto">
        <a:xfrm>
          <a:off x="13087350" y="9848850"/>
          <a:ext cx="228600" cy="714375"/>
        </a:xfrm>
        <a:prstGeom prst="rightBrace">
          <a:avLst>
            <a:gd name="adj1" fmla="val 0"/>
            <a:gd name="adj2" fmla="val 5000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161925</xdr:colOff>
      <xdr:row>49</xdr:row>
      <xdr:rowOff>9525</xdr:rowOff>
    </xdr:from>
    <xdr:to>
      <xdr:col>16</xdr:col>
      <xdr:colOff>390525</xdr:colOff>
      <xdr:row>52</xdr:row>
      <xdr:rowOff>152400</xdr:rowOff>
    </xdr:to>
    <xdr:sp macro="" textlink="">
      <xdr:nvSpPr>
        <xdr:cNvPr id="8197" name="AutoShape 27"/>
        <xdr:cNvSpPr>
          <a:spLocks/>
        </xdr:cNvSpPr>
      </xdr:nvSpPr>
      <xdr:spPr bwMode="auto">
        <a:xfrm>
          <a:off x="9534525" y="9848850"/>
          <a:ext cx="228600" cy="714375"/>
        </a:xfrm>
        <a:prstGeom prst="rightBrace">
          <a:avLst>
            <a:gd name="adj1" fmla="val 0"/>
            <a:gd name="adj2" fmla="val 5000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285750</xdr:colOff>
      <xdr:row>49</xdr:row>
      <xdr:rowOff>152400</xdr:rowOff>
    </xdr:from>
    <xdr:to>
      <xdr:col>22</xdr:col>
      <xdr:colOff>714375</xdr:colOff>
      <xdr:row>52</xdr:row>
      <xdr:rowOff>19050</xdr:rowOff>
    </xdr:to>
    <xdr:sp macro="" textlink="" fLocksText="0">
      <xdr:nvSpPr>
        <xdr:cNvPr id="7" name="Rectangle 11"/>
        <xdr:cNvSpPr>
          <a:spLocks noChangeArrowheads="1"/>
        </xdr:cNvSpPr>
      </xdr:nvSpPr>
      <xdr:spPr bwMode="auto">
        <a:xfrm>
          <a:off x="13344525" y="8067675"/>
          <a:ext cx="400050" cy="304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2736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16</xdr:col>
      <xdr:colOff>438150</xdr:colOff>
      <xdr:row>49</xdr:row>
      <xdr:rowOff>142875</xdr:rowOff>
    </xdr:from>
    <xdr:to>
      <xdr:col>17</xdr:col>
      <xdr:colOff>104775</xdr:colOff>
      <xdr:row>51</xdr:row>
      <xdr:rowOff>180975</xdr:rowOff>
    </xdr:to>
    <xdr:sp macro="" textlink="" fLocksText="0">
      <xdr:nvSpPr>
        <xdr:cNvPr id="8" name="Rectangle 12"/>
        <xdr:cNvSpPr>
          <a:spLocks noChangeArrowheads="1"/>
        </xdr:cNvSpPr>
      </xdr:nvSpPr>
      <xdr:spPr bwMode="auto">
        <a:xfrm>
          <a:off x="9810750" y="8067675"/>
          <a:ext cx="390525" cy="2857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2736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53</xdr:row>
      <xdr:rowOff>0</xdr:rowOff>
    </xdr:from>
    <xdr:to>
      <xdr:col>21</xdr:col>
      <xdr:colOff>342900</xdr:colOff>
      <xdr:row>54</xdr:row>
      <xdr:rowOff>19050</xdr:rowOff>
    </xdr:to>
    <xdr:sp macro="" textlink="">
      <xdr:nvSpPr>
        <xdr:cNvPr id="9217" name="Text Box 2"/>
        <xdr:cNvSpPr txBox="1">
          <a:spLocks noChangeArrowheads="1"/>
        </xdr:cNvSpPr>
      </xdr:nvSpPr>
      <xdr:spPr bwMode="auto">
        <a:xfrm>
          <a:off x="10801350" y="8496300"/>
          <a:ext cx="18478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50</xdr:row>
      <xdr:rowOff>0</xdr:rowOff>
    </xdr:from>
    <xdr:to>
      <xdr:col>23</xdr:col>
      <xdr:colOff>0</xdr:colOff>
      <xdr:row>52</xdr:row>
      <xdr:rowOff>66675</xdr:rowOff>
    </xdr:to>
    <xdr:sp macro="" textlink="" fLocksText="0">
      <xdr:nvSpPr>
        <xdr:cNvPr id="287878" name="Rectangle 11"/>
        <xdr:cNvSpPr>
          <a:spLocks noChangeArrowheads="1"/>
        </xdr:cNvSpPr>
      </xdr:nvSpPr>
      <xdr:spPr bwMode="auto">
        <a:xfrm>
          <a:off x="13344525" y="8067675"/>
          <a:ext cx="400050" cy="35242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16</xdr:col>
      <xdr:colOff>438150</xdr:colOff>
      <xdr:row>50</xdr:row>
      <xdr:rowOff>0</xdr:rowOff>
    </xdr:from>
    <xdr:to>
      <xdr:col>17</xdr:col>
      <xdr:colOff>104775</xdr:colOff>
      <xdr:row>52</xdr:row>
      <xdr:rowOff>76200</xdr:rowOff>
    </xdr:to>
    <xdr:sp macro="" textlink="" fLocksText="0">
      <xdr:nvSpPr>
        <xdr:cNvPr id="287879" name="Rectangle 12"/>
        <xdr:cNvSpPr>
          <a:spLocks noChangeArrowheads="1"/>
        </xdr:cNvSpPr>
      </xdr:nvSpPr>
      <xdr:spPr bwMode="auto">
        <a:xfrm>
          <a:off x="9810750" y="8067675"/>
          <a:ext cx="390525" cy="3619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13</xdr:row>
      <xdr:rowOff>104775</xdr:rowOff>
    </xdr:from>
    <xdr:to>
      <xdr:col>16</xdr:col>
      <xdr:colOff>514350</xdr:colOff>
      <xdr:row>13</xdr:row>
      <xdr:rowOff>104775</xdr:rowOff>
    </xdr:to>
    <xdr:sp macro="" textlink="">
      <xdr:nvSpPr>
        <xdr:cNvPr id="10241" name="Line 2"/>
        <xdr:cNvSpPr>
          <a:spLocks noChangeShapeType="1"/>
        </xdr:cNvSpPr>
      </xdr:nvSpPr>
      <xdr:spPr bwMode="auto">
        <a:xfrm>
          <a:off x="8181975" y="3248025"/>
          <a:ext cx="10096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76200</xdr:colOff>
      <xdr:row>17</xdr:row>
      <xdr:rowOff>114300</xdr:rowOff>
    </xdr:from>
    <xdr:to>
      <xdr:col>18</xdr:col>
      <xdr:colOff>57150</xdr:colOff>
      <xdr:row>17</xdr:row>
      <xdr:rowOff>114300</xdr:rowOff>
    </xdr:to>
    <xdr:sp macro="" textlink="">
      <xdr:nvSpPr>
        <xdr:cNvPr id="10242" name="Line 3"/>
        <xdr:cNvSpPr>
          <a:spLocks noChangeShapeType="1"/>
        </xdr:cNvSpPr>
      </xdr:nvSpPr>
      <xdr:spPr bwMode="auto">
        <a:xfrm>
          <a:off x="8143875" y="4248150"/>
          <a:ext cx="18097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476250</xdr:colOff>
      <xdr:row>13</xdr:row>
      <xdr:rowOff>114300</xdr:rowOff>
    </xdr:from>
    <xdr:to>
      <xdr:col>22</xdr:col>
      <xdr:colOff>133350</xdr:colOff>
      <xdr:row>13</xdr:row>
      <xdr:rowOff>114300</xdr:rowOff>
    </xdr:to>
    <xdr:sp macro="" textlink="">
      <xdr:nvSpPr>
        <xdr:cNvPr id="10243" name="Line 4"/>
        <xdr:cNvSpPr>
          <a:spLocks noChangeShapeType="1"/>
        </xdr:cNvSpPr>
      </xdr:nvSpPr>
      <xdr:spPr bwMode="auto">
        <a:xfrm>
          <a:off x="11591925" y="3257550"/>
          <a:ext cx="8763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361950</xdr:colOff>
      <xdr:row>17</xdr:row>
      <xdr:rowOff>114300</xdr:rowOff>
    </xdr:from>
    <xdr:to>
      <xdr:col>22</xdr:col>
      <xdr:colOff>142875</xdr:colOff>
      <xdr:row>17</xdr:row>
      <xdr:rowOff>114300</xdr:rowOff>
    </xdr:to>
    <xdr:sp macro="" textlink="">
      <xdr:nvSpPr>
        <xdr:cNvPr id="10244" name="Line 5"/>
        <xdr:cNvSpPr>
          <a:spLocks noChangeShapeType="1"/>
        </xdr:cNvSpPr>
      </xdr:nvSpPr>
      <xdr:spPr bwMode="auto">
        <a:xfrm>
          <a:off x="11477625" y="4248150"/>
          <a:ext cx="100012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114300</xdr:colOff>
      <xdr:row>13</xdr:row>
      <xdr:rowOff>104775</xdr:rowOff>
    </xdr:from>
    <xdr:to>
      <xdr:col>16</xdr:col>
      <xdr:colOff>514350</xdr:colOff>
      <xdr:row>13</xdr:row>
      <xdr:rowOff>104775</xdr:rowOff>
    </xdr:to>
    <xdr:sp macro="" textlink="">
      <xdr:nvSpPr>
        <xdr:cNvPr id="10245" name="Line 2"/>
        <xdr:cNvSpPr>
          <a:spLocks noChangeShapeType="1"/>
        </xdr:cNvSpPr>
      </xdr:nvSpPr>
      <xdr:spPr bwMode="auto">
        <a:xfrm>
          <a:off x="8181975" y="3248025"/>
          <a:ext cx="10096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76200</xdr:colOff>
      <xdr:row>17</xdr:row>
      <xdr:rowOff>114300</xdr:rowOff>
    </xdr:from>
    <xdr:to>
      <xdr:col>18</xdr:col>
      <xdr:colOff>57150</xdr:colOff>
      <xdr:row>17</xdr:row>
      <xdr:rowOff>114300</xdr:rowOff>
    </xdr:to>
    <xdr:sp macro="" textlink="">
      <xdr:nvSpPr>
        <xdr:cNvPr id="10246" name="Line 3"/>
        <xdr:cNvSpPr>
          <a:spLocks noChangeShapeType="1"/>
        </xdr:cNvSpPr>
      </xdr:nvSpPr>
      <xdr:spPr bwMode="auto">
        <a:xfrm>
          <a:off x="8143875" y="4248150"/>
          <a:ext cx="18097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476250</xdr:colOff>
      <xdr:row>13</xdr:row>
      <xdr:rowOff>114300</xdr:rowOff>
    </xdr:from>
    <xdr:to>
      <xdr:col>22</xdr:col>
      <xdr:colOff>133350</xdr:colOff>
      <xdr:row>13</xdr:row>
      <xdr:rowOff>114300</xdr:rowOff>
    </xdr:to>
    <xdr:sp macro="" textlink="">
      <xdr:nvSpPr>
        <xdr:cNvPr id="10247" name="Line 4"/>
        <xdr:cNvSpPr>
          <a:spLocks noChangeShapeType="1"/>
        </xdr:cNvSpPr>
      </xdr:nvSpPr>
      <xdr:spPr bwMode="auto">
        <a:xfrm>
          <a:off x="11591925" y="3257550"/>
          <a:ext cx="8763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361950</xdr:colOff>
      <xdr:row>17</xdr:row>
      <xdr:rowOff>114300</xdr:rowOff>
    </xdr:from>
    <xdr:to>
      <xdr:col>22</xdr:col>
      <xdr:colOff>142875</xdr:colOff>
      <xdr:row>17</xdr:row>
      <xdr:rowOff>114300</xdr:rowOff>
    </xdr:to>
    <xdr:sp macro="" textlink="">
      <xdr:nvSpPr>
        <xdr:cNvPr id="10248" name="Line 5"/>
        <xdr:cNvSpPr>
          <a:spLocks noChangeShapeType="1"/>
        </xdr:cNvSpPr>
      </xdr:nvSpPr>
      <xdr:spPr bwMode="auto">
        <a:xfrm>
          <a:off x="11477625" y="4248150"/>
          <a:ext cx="100012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13</xdr:row>
      <xdr:rowOff>104775</xdr:rowOff>
    </xdr:from>
    <xdr:to>
      <xdr:col>16</xdr:col>
      <xdr:colOff>514350</xdr:colOff>
      <xdr:row>13</xdr:row>
      <xdr:rowOff>104775</xdr:rowOff>
    </xdr:to>
    <xdr:sp macro="" textlink="">
      <xdr:nvSpPr>
        <xdr:cNvPr id="11265" name="Line 2"/>
        <xdr:cNvSpPr>
          <a:spLocks noChangeShapeType="1"/>
        </xdr:cNvSpPr>
      </xdr:nvSpPr>
      <xdr:spPr bwMode="auto">
        <a:xfrm>
          <a:off x="8220075" y="3248025"/>
          <a:ext cx="10287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76200</xdr:colOff>
      <xdr:row>17</xdr:row>
      <xdr:rowOff>114300</xdr:rowOff>
    </xdr:from>
    <xdr:to>
      <xdr:col>18</xdr:col>
      <xdr:colOff>57150</xdr:colOff>
      <xdr:row>17</xdr:row>
      <xdr:rowOff>114300</xdr:rowOff>
    </xdr:to>
    <xdr:sp macro="" textlink="">
      <xdr:nvSpPr>
        <xdr:cNvPr id="11266" name="Line 3"/>
        <xdr:cNvSpPr>
          <a:spLocks noChangeShapeType="1"/>
        </xdr:cNvSpPr>
      </xdr:nvSpPr>
      <xdr:spPr bwMode="auto">
        <a:xfrm>
          <a:off x="8181975" y="4248150"/>
          <a:ext cx="18669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476250</xdr:colOff>
      <xdr:row>13</xdr:row>
      <xdr:rowOff>114300</xdr:rowOff>
    </xdr:from>
    <xdr:to>
      <xdr:col>22</xdr:col>
      <xdr:colOff>133350</xdr:colOff>
      <xdr:row>13</xdr:row>
      <xdr:rowOff>114300</xdr:rowOff>
    </xdr:to>
    <xdr:sp macro="" textlink="">
      <xdr:nvSpPr>
        <xdr:cNvPr id="11267" name="Line 4"/>
        <xdr:cNvSpPr>
          <a:spLocks noChangeShapeType="1"/>
        </xdr:cNvSpPr>
      </xdr:nvSpPr>
      <xdr:spPr bwMode="auto">
        <a:xfrm>
          <a:off x="11725275" y="3257550"/>
          <a:ext cx="9144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361950</xdr:colOff>
      <xdr:row>17</xdr:row>
      <xdr:rowOff>114300</xdr:rowOff>
    </xdr:from>
    <xdr:to>
      <xdr:col>22</xdr:col>
      <xdr:colOff>142875</xdr:colOff>
      <xdr:row>17</xdr:row>
      <xdr:rowOff>114300</xdr:rowOff>
    </xdr:to>
    <xdr:sp macro="" textlink="">
      <xdr:nvSpPr>
        <xdr:cNvPr id="11268" name="Line 5"/>
        <xdr:cNvSpPr>
          <a:spLocks noChangeShapeType="1"/>
        </xdr:cNvSpPr>
      </xdr:nvSpPr>
      <xdr:spPr bwMode="auto">
        <a:xfrm>
          <a:off x="11610975" y="4248150"/>
          <a:ext cx="103822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7</xdr:row>
      <xdr:rowOff>133350</xdr:rowOff>
    </xdr:from>
    <xdr:to>
      <xdr:col>3</xdr:col>
      <xdr:colOff>142875</xdr:colOff>
      <xdr:row>31</xdr:row>
      <xdr:rowOff>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66675</xdr:colOff>
      <xdr:row>40</xdr:row>
      <xdr:rowOff>95250</xdr:rowOff>
    </xdr:from>
    <xdr:to>
      <xdr:col>5</xdr:col>
      <xdr:colOff>990600</xdr:colOff>
      <xdr:row>58</xdr:row>
      <xdr:rowOff>9525</xdr:rowOff>
    </xdr:to>
    <xdr:graphicFrame macro="">
      <xdr:nvGraphicFramePr>
        <xdr:cNvPr id="1229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190500</xdr:colOff>
      <xdr:row>66</xdr:row>
      <xdr:rowOff>76200</xdr:rowOff>
    </xdr:from>
    <xdr:to>
      <xdr:col>5</xdr:col>
      <xdr:colOff>838200</xdr:colOff>
      <xdr:row>89</xdr:row>
      <xdr:rowOff>133350</xdr:rowOff>
    </xdr:to>
    <xdr:graphicFrame macro="">
      <xdr:nvGraphicFramePr>
        <xdr:cNvPr id="1229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</xdr:colOff>
      <xdr:row>94</xdr:row>
      <xdr:rowOff>19051</xdr:rowOff>
    </xdr:from>
    <xdr:to>
      <xdr:col>5</xdr:col>
      <xdr:colOff>1076324</xdr:colOff>
      <xdr:row>121</xdr:row>
      <xdr:rowOff>66677</xdr:rowOff>
    </xdr:to>
    <xdr:graphicFrame macro="">
      <xdr:nvGraphicFramePr>
        <xdr:cNvPr id="1229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790575</xdr:colOff>
      <xdr:row>37</xdr:row>
      <xdr:rowOff>9525</xdr:rowOff>
    </xdr:from>
    <xdr:to>
      <xdr:col>2</xdr:col>
      <xdr:colOff>238125</xdr:colOff>
      <xdr:row>38</xdr:row>
      <xdr:rowOff>57150</xdr:rowOff>
    </xdr:to>
    <xdr:sp macro="" textlink="">
      <xdr:nvSpPr>
        <xdr:cNvPr id="465925" name="Text Box 11"/>
        <xdr:cNvSpPr txBox="1">
          <a:spLocks noChangeArrowheads="1"/>
        </xdr:cNvSpPr>
      </xdr:nvSpPr>
      <xdr:spPr bwMode="auto">
        <a:xfrm>
          <a:off x="790575" y="6419850"/>
          <a:ext cx="17907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　　男</a:t>
          </a:r>
        </a:p>
      </xdr:txBody>
    </xdr:sp>
    <xdr:clientData/>
  </xdr:twoCellAnchor>
  <xdr:twoCellAnchor>
    <xdr:from>
      <xdr:col>3</xdr:col>
      <xdr:colOff>857250</xdr:colOff>
      <xdr:row>37</xdr:row>
      <xdr:rowOff>9525</xdr:rowOff>
    </xdr:from>
    <xdr:to>
      <xdr:col>5</xdr:col>
      <xdr:colOff>276225</xdr:colOff>
      <xdr:row>38</xdr:row>
      <xdr:rowOff>66675</xdr:rowOff>
    </xdr:to>
    <xdr:sp macro="" textlink="">
      <xdr:nvSpPr>
        <xdr:cNvPr id="465926" name="Text Box 12"/>
        <xdr:cNvSpPr txBox="1">
          <a:spLocks noChangeArrowheads="1"/>
        </xdr:cNvSpPr>
      </xdr:nvSpPr>
      <xdr:spPr bwMode="auto">
        <a:xfrm>
          <a:off x="4371975" y="6419850"/>
          <a:ext cx="1762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　　女</a:t>
          </a:r>
        </a:p>
      </xdr:txBody>
    </xdr:sp>
    <xdr:clientData/>
  </xdr:twoCellAnchor>
  <xdr:twoCellAnchor editAs="oneCell">
    <xdr:from>
      <xdr:col>0</xdr:col>
      <xdr:colOff>314325</xdr:colOff>
      <xdr:row>125</xdr:row>
      <xdr:rowOff>123825</xdr:rowOff>
    </xdr:from>
    <xdr:to>
      <xdr:col>5</xdr:col>
      <xdr:colOff>1095375</xdr:colOff>
      <xdr:row>150</xdr:row>
      <xdr:rowOff>19050</xdr:rowOff>
    </xdr:to>
    <xdr:graphicFrame macro="">
      <xdr:nvGraphicFramePr>
        <xdr:cNvPr id="1229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161925</xdr:colOff>
      <xdr:row>6</xdr:row>
      <xdr:rowOff>9525</xdr:rowOff>
    </xdr:from>
    <xdr:to>
      <xdr:col>5</xdr:col>
      <xdr:colOff>390525</xdr:colOff>
      <xdr:row>7</xdr:row>
      <xdr:rowOff>19050</xdr:rowOff>
    </xdr:to>
    <xdr:sp macro="" textlink="">
      <xdr:nvSpPr>
        <xdr:cNvPr id="466066" name="Text Box 19"/>
        <xdr:cNvSpPr txBox="1">
          <a:spLocks noChangeArrowheads="1"/>
        </xdr:cNvSpPr>
      </xdr:nvSpPr>
      <xdr:spPr bwMode="auto">
        <a:xfrm>
          <a:off x="4848225" y="1104900"/>
          <a:ext cx="14001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</a:t>
          </a:r>
        </a:p>
      </xdr:txBody>
    </xdr:sp>
    <xdr:clientData/>
  </xdr:twoCellAnchor>
  <xdr:twoCellAnchor>
    <xdr:from>
      <xdr:col>12</xdr:col>
      <xdr:colOff>0</xdr:colOff>
      <xdr:row>191</xdr:row>
      <xdr:rowOff>0</xdr:rowOff>
    </xdr:from>
    <xdr:to>
      <xdr:col>12</xdr:col>
      <xdr:colOff>0</xdr:colOff>
      <xdr:row>191</xdr:row>
      <xdr:rowOff>0</xdr:rowOff>
    </xdr:to>
    <xdr:sp macro="" textlink="">
      <xdr:nvSpPr>
        <xdr:cNvPr id="12297" name="Line 20"/>
        <xdr:cNvSpPr>
          <a:spLocks noChangeShapeType="1"/>
        </xdr:cNvSpPr>
      </xdr:nvSpPr>
      <xdr:spPr bwMode="auto">
        <a:xfrm>
          <a:off x="12963525" y="3281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885825</xdr:colOff>
      <xdr:row>64</xdr:row>
      <xdr:rowOff>161925</xdr:rowOff>
    </xdr:from>
    <xdr:to>
      <xdr:col>3</xdr:col>
      <xdr:colOff>762000</xdr:colOff>
      <xdr:row>66</xdr:row>
      <xdr:rowOff>28575</xdr:rowOff>
    </xdr:to>
    <xdr:sp macro="" textlink="">
      <xdr:nvSpPr>
        <xdr:cNvPr id="4132" name="Text Box 36"/>
        <xdr:cNvSpPr txBox="1">
          <a:spLocks noChangeArrowheads="1"/>
        </xdr:cNvSpPr>
      </xdr:nvSpPr>
      <xdr:spPr bwMode="auto">
        <a:xfrm>
          <a:off x="3048000" y="1123950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2</xdr:col>
      <xdr:colOff>752474</xdr:colOff>
      <xdr:row>93</xdr:row>
      <xdr:rowOff>47624</xdr:rowOff>
    </xdr:from>
    <xdr:to>
      <xdr:col>3</xdr:col>
      <xdr:colOff>695324</xdr:colOff>
      <xdr:row>94</xdr:row>
      <xdr:rowOff>95249</xdr:rowOff>
    </xdr:to>
    <xdr:sp macro="" textlink="">
      <xdr:nvSpPr>
        <xdr:cNvPr id="4133" name="Text Box 37"/>
        <xdr:cNvSpPr txBox="1">
          <a:spLocks noChangeArrowheads="1"/>
        </xdr:cNvSpPr>
      </xdr:nvSpPr>
      <xdr:spPr bwMode="auto">
        <a:xfrm>
          <a:off x="3095624" y="16059149"/>
          <a:ext cx="11144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4</xdr:col>
      <xdr:colOff>790575</xdr:colOff>
      <xdr:row>190</xdr:row>
      <xdr:rowOff>9525</xdr:rowOff>
    </xdr:from>
    <xdr:to>
      <xdr:col>4</xdr:col>
      <xdr:colOff>1038225</xdr:colOff>
      <xdr:row>190</xdr:row>
      <xdr:rowOff>161925</xdr:rowOff>
    </xdr:to>
    <xdr:sp macro="" textlink="">
      <xdr:nvSpPr>
        <xdr:cNvPr id="4145" name="Text Box 49"/>
        <xdr:cNvSpPr txBox="1">
          <a:spLocks noChangeArrowheads="1"/>
        </xdr:cNvSpPr>
      </xdr:nvSpPr>
      <xdr:spPr bwMode="auto">
        <a:xfrm>
          <a:off x="3076575" y="32632650"/>
          <a:ext cx="2476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</a:t>
          </a:r>
        </a:p>
      </xdr:txBody>
    </xdr:sp>
    <xdr:clientData/>
  </xdr:twoCellAnchor>
  <xdr:twoCellAnchor>
    <xdr:from>
      <xdr:col>2</xdr:col>
      <xdr:colOff>1162050</xdr:colOff>
      <xdr:row>7</xdr:row>
      <xdr:rowOff>114300</xdr:rowOff>
    </xdr:from>
    <xdr:to>
      <xdr:col>6</xdr:col>
      <xdr:colOff>276225</xdr:colOff>
      <xdr:row>34</xdr:row>
      <xdr:rowOff>66675</xdr:rowOff>
    </xdr:to>
    <xdr:graphicFrame macro="">
      <xdr:nvGraphicFramePr>
        <xdr:cNvPr id="12301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</xdr:colOff>
      <xdr:row>41</xdr:row>
      <xdr:rowOff>38100</xdr:rowOff>
    </xdr:from>
    <xdr:to>
      <xdr:col>2</xdr:col>
      <xdr:colOff>333375</xdr:colOff>
      <xdr:row>41</xdr:row>
      <xdr:rowOff>161925</xdr:rowOff>
    </xdr:to>
    <xdr:sp macro="" textlink="">
      <xdr:nvSpPr>
        <xdr:cNvPr id="12302" name="Line 56"/>
        <xdr:cNvSpPr>
          <a:spLocks noChangeShapeType="1"/>
        </xdr:cNvSpPr>
      </xdr:nvSpPr>
      <xdr:spPr bwMode="auto">
        <a:xfrm flipV="1">
          <a:off x="2447925" y="7134225"/>
          <a:ext cx="22860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542925</xdr:colOff>
      <xdr:row>51</xdr:row>
      <xdr:rowOff>123825</xdr:rowOff>
    </xdr:from>
    <xdr:to>
      <xdr:col>0</xdr:col>
      <xdr:colOff>771525</xdr:colOff>
      <xdr:row>52</xdr:row>
      <xdr:rowOff>76200</xdr:rowOff>
    </xdr:to>
    <xdr:sp macro="" textlink="">
      <xdr:nvSpPr>
        <xdr:cNvPr id="12303" name="Line 57"/>
        <xdr:cNvSpPr>
          <a:spLocks noChangeShapeType="1"/>
        </xdr:cNvSpPr>
      </xdr:nvSpPr>
      <xdr:spPr bwMode="auto">
        <a:xfrm flipV="1">
          <a:off x="542925" y="8934450"/>
          <a:ext cx="228600" cy="123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981075</xdr:colOff>
      <xdr:row>40</xdr:row>
      <xdr:rowOff>133350</xdr:rowOff>
    </xdr:from>
    <xdr:to>
      <xdr:col>1</xdr:col>
      <xdr:colOff>57150</xdr:colOff>
      <xdr:row>41</xdr:row>
      <xdr:rowOff>114300</xdr:rowOff>
    </xdr:to>
    <xdr:sp macro="" textlink="">
      <xdr:nvSpPr>
        <xdr:cNvPr id="12304" name="Line 58"/>
        <xdr:cNvSpPr>
          <a:spLocks noChangeShapeType="1"/>
        </xdr:cNvSpPr>
      </xdr:nvSpPr>
      <xdr:spPr bwMode="auto">
        <a:xfrm>
          <a:off x="981075" y="7058025"/>
          <a:ext cx="247650" cy="1524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161925</xdr:colOff>
      <xdr:row>47</xdr:row>
      <xdr:rowOff>28575</xdr:rowOff>
    </xdr:from>
    <xdr:to>
      <xdr:col>1</xdr:col>
      <xdr:colOff>1047750</xdr:colOff>
      <xdr:row>48</xdr:row>
      <xdr:rowOff>85725</xdr:rowOff>
    </xdr:to>
    <xdr:sp macro="" textlink="">
      <xdr:nvSpPr>
        <xdr:cNvPr id="4157" name="Text Box 61"/>
        <xdr:cNvSpPr txBox="1">
          <a:spLocks noChangeArrowheads="1"/>
        </xdr:cNvSpPr>
      </xdr:nvSpPr>
      <xdr:spPr bwMode="auto">
        <a:xfrm>
          <a:off x="1333500" y="8153400"/>
          <a:ext cx="885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00,000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0</xdr:col>
      <xdr:colOff>66675</xdr:colOff>
      <xdr:row>157</xdr:row>
      <xdr:rowOff>85725</xdr:rowOff>
    </xdr:from>
    <xdr:to>
      <xdr:col>2</xdr:col>
      <xdr:colOff>495300</xdr:colOff>
      <xdr:row>179</xdr:row>
      <xdr:rowOff>66675</xdr:rowOff>
    </xdr:to>
    <xdr:graphicFrame macro="">
      <xdr:nvGraphicFramePr>
        <xdr:cNvPr id="1230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123825</xdr:colOff>
      <xdr:row>40</xdr:row>
      <xdr:rowOff>19050</xdr:rowOff>
    </xdr:from>
    <xdr:to>
      <xdr:col>2</xdr:col>
      <xdr:colOff>1133475</xdr:colOff>
      <xdr:row>57</xdr:row>
      <xdr:rowOff>123825</xdr:rowOff>
    </xdr:to>
    <xdr:graphicFrame macro="">
      <xdr:nvGraphicFramePr>
        <xdr:cNvPr id="12307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561975</xdr:colOff>
      <xdr:row>160</xdr:row>
      <xdr:rowOff>85725</xdr:rowOff>
    </xdr:from>
    <xdr:to>
      <xdr:col>5</xdr:col>
      <xdr:colOff>1133475</xdr:colOff>
      <xdr:row>176</xdr:row>
      <xdr:rowOff>104775</xdr:rowOff>
    </xdr:to>
    <xdr:pic>
      <xdr:nvPicPr>
        <xdr:cNvPr id="123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905125" y="27584400"/>
          <a:ext cx="4086225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1000125</xdr:colOff>
      <xdr:row>186</xdr:row>
      <xdr:rowOff>38100</xdr:rowOff>
    </xdr:from>
    <xdr:to>
      <xdr:col>5</xdr:col>
      <xdr:colOff>1123950</xdr:colOff>
      <xdr:row>210</xdr:row>
      <xdr:rowOff>142875</xdr:rowOff>
    </xdr:to>
    <xdr:graphicFrame macro="">
      <xdr:nvGraphicFramePr>
        <xdr:cNvPr id="12309" name="グラフ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609600</xdr:colOff>
      <xdr:row>124</xdr:row>
      <xdr:rowOff>28575</xdr:rowOff>
    </xdr:from>
    <xdr:to>
      <xdr:col>3</xdr:col>
      <xdr:colOff>790575</xdr:colOff>
      <xdr:row>125</xdr:row>
      <xdr:rowOff>76200</xdr:rowOff>
    </xdr:to>
    <xdr:sp macro="" textlink="">
      <xdr:nvSpPr>
        <xdr:cNvPr id="465958" name="Text Box 37"/>
        <xdr:cNvSpPr txBox="1">
          <a:spLocks noChangeArrowheads="1"/>
        </xdr:cNvSpPr>
      </xdr:nvSpPr>
      <xdr:spPr bwMode="auto">
        <a:xfrm>
          <a:off x="2857500" y="21545550"/>
          <a:ext cx="13525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各年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月１日現在</a:t>
          </a:r>
        </a:p>
      </xdr:txBody>
    </xdr:sp>
    <xdr:clientData/>
  </xdr:twoCellAnchor>
  <xdr:twoCellAnchor>
    <xdr:from>
      <xdr:col>0</xdr:col>
      <xdr:colOff>85725</xdr:colOff>
      <xdr:row>186</xdr:row>
      <xdr:rowOff>104775</xdr:rowOff>
    </xdr:from>
    <xdr:to>
      <xdr:col>2</xdr:col>
      <xdr:colOff>895350</xdr:colOff>
      <xdr:row>210</xdr:row>
      <xdr:rowOff>104775</xdr:rowOff>
    </xdr:to>
    <xdr:graphicFrame macro="">
      <xdr:nvGraphicFramePr>
        <xdr:cNvPr id="12311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>
    <xdr:from>
      <xdr:col>0</xdr:col>
      <xdr:colOff>95250</xdr:colOff>
      <xdr:row>215</xdr:row>
      <xdr:rowOff>9525</xdr:rowOff>
    </xdr:from>
    <xdr:to>
      <xdr:col>3</xdr:col>
      <xdr:colOff>1123950</xdr:colOff>
      <xdr:row>243</xdr:row>
      <xdr:rowOff>57150</xdr:rowOff>
    </xdr:to>
    <xdr:graphicFrame macro="">
      <xdr:nvGraphicFramePr>
        <xdr:cNvPr id="1231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209550</xdr:colOff>
      <xdr:row>215</xdr:row>
      <xdr:rowOff>19050</xdr:rowOff>
    </xdr:from>
    <xdr:to>
      <xdr:col>5</xdr:col>
      <xdr:colOff>1085850</xdr:colOff>
      <xdr:row>243</xdr:row>
      <xdr:rowOff>38100</xdr:rowOff>
    </xdr:to>
    <xdr:graphicFrame macro="">
      <xdr:nvGraphicFramePr>
        <xdr:cNvPr id="1231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0.42742</cdr:x>
      <cdr:y>0.4402</cdr:y>
    </cdr:from>
    <cdr:to>
      <cdr:x>0.62234</cdr:x>
      <cdr:y>0.5873</cdr:y>
    </cdr:to>
    <cdr:sp macro="" textlink="">
      <cdr:nvSpPr>
        <cdr:cNvPr id="531457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6413" y="1320765"/>
          <a:ext cx="636818" cy="4413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女（総数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  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57,965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 sz="825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0.36933</cdr:x>
      <cdr:y>0.44968</cdr:y>
    </cdr:from>
    <cdr:to>
      <cdr:x>0.59864</cdr:x>
      <cdr:y>0.58044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8290" y="1357774"/>
          <a:ext cx="768830" cy="394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男（総数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55,780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　　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view="pageBreakPreview" topLeftCell="A34" zoomScaleNormal="100" zoomScaleSheetLayoutView="100" workbookViewId="0">
      <selection activeCell="D52" sqref="D52"/>
    </sheetView>
  </sheetViews>
  <sheetFormatPr defaultRowHeight="17.100000000000001" customHeight="1"/>
  <cols>
    <col min="1" max="1" width="8.625" style="521" customWidth="1"/>
    <col min="2" max="2" width="9.625" style="521" customWidth="1"/>
    <col min="3" max="3" width="10.375" style="521" customWidth="1"/>
    <col min="4" max="4" width="10.25" style="521" bestFit="1" customWidth="1"/>
    <col min="5" max="5" width="9.5" style="521" customWidth="1"/>
    <col min="6" max="6" width="9.125" style="521" bestFit="1" customWidth="1"/>
    <col min="7" max="8" width="8.875" style="521" customWidth="1"/>
    <col min="9" max="9" width="7.5" style="521" customWidth="1"/>
    <col min="10" max="10" width="8.75" style="521" customWidth="1"/>
    <col min="11" max="16384" width="9" style="521"/>
  </cols>
  <sheetData>
    <row r="1" spans="1:14" ht="30" customHeight="1">
      <c r="A1" s="519" t="s">
        <v>469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4" ht="15" customHeight="1">
      <c r="A2" s="522"/>
      <c r="B2" s="183"/>
      <c r="C2" s="183"/>
      <c r="D2" s="183"/>
      <c r="E2" s="183"/>
      <c r="F2" s="183"/>
      <c r="G2" s="183"/>
      <c r="H2" s="183"/>
      <c r="I2" s="183"/>
      <c r="J2" s="183"/>
    </row>
    <row r="3" spans="1:14" ht="15" customHeight="1" thickBot="1">
      <c r="A3" s="522" t="s">
        <v>470</v>
      </c>
      <c r="B3" s="183"/>
      <c r="C3" s="183"/>
      <c r="D3" s="183"/>
      <c r="E3" s="183"/>
      <c r="F3" s="183"/>
      <c r="G3" s="183"/>
      <c r="H3" s="183"/>
      <c r="I3" s="522"/>
      <c r="J3" s="523" t="s">
        <v>471</v>
      </c>
    </row>
    <row r="4" spans="1:14" ht="20.100000000000001" customHeight="1">
      <c r="A4" s="655" t="s">
        <v>472</v>
      </c>
      <c r="B4" s="657" t="s">
        <v>473</v>
      </c>
      <c r="C4" s="659" t="s">
        <v>474</v>
      </c>
      <c r="D4" s="660"/>
      <c r="E4" s="661"/>
      <c r="F4" s="524" t="s">
        <v>475</v>
      </c>
      <c r="G4" s="659" t="s">
        <v>21</v>
      </c>
      <c r="H4" s="661"/>
      <c r="I4" s="659" t="s">
        <v>21</v>
      </c>
      <c r="J4" s="665"/>
    </row>
    <row r="5" spans="1:14" ht="20.100000000000001" customHeight="1">
      <c r="A5" s="656"/>
      <c r="B5" s="658"/>
      <c r="C5" s="526" t="s">
        <v>476</v>
      </c>
      <c r="D5" s="526" t="s">
        <v>477</v>
      </c>
      <c r="E5" s="526" t="s">
        <v>478</v>
      </c>
      <c r="F5" s="525" t="s">
        <v>479</v>
      </c>
      <c r="G5" s="666" t="s">
        <v>25</v>
      </c>
      <c r="H5" s="667"/>
      <c r="I5" s="666" t="s">
        <v>26</v>
      </c>
      <c r="J5" s="668"/>
    </row>
    <row r="6" spans="1:14" ht="17.100000000000001" customHeight="1">
      <c r="A6" s="528" t="s">
        <v>654</v>
      </c>
      <c r="B6" s="175">
        <v>38670</v>
      </c>
      <c r="C6" s="175">
        <f>D6+E6</f>
        <v>106221</v>
      </c>
      <c r="D6" s="175">
        <v>52453</v>
      </c>
      <c r="E6" s="175">
        <v>53768</v>
      </c>
      <c r="F6" s="178">
        <f t="shared" ref="F6:F13" si="0">ROUND(C6/B6,2)</f>
        <v>2.75</v>
      </c>
      <c r="G6" s="662">
        <v>736</v>
      </c>
      <c r="H6" s="662"/>
      <c r="I6" s="663">
        <f t="shared" ref="I6:I15" si="1">G6/C6</f>
        <v>6.9289500192993856E-3</v>
      </c>
      <c r="J6" s="664"/>
      <c r="L6" s="529"/>
      <c r="M6" s="529"/>
      <c r="N6" s="529"/>
    </row>
    <row r="7" spans="1:14" ht="17.100000000000001" customHeight="1">
      <c r="A7" s="609">
        <v>16</v>
      </c>
      <c r="B7" s="531">
        <v>39322</v>
      </c>
      <c r="C7" s="175">
        <v>106810</v>
      </c>
      <c r="D7" s="175">
        <v>52750</v>
      </c>
      <c r="E7" s="175">
        <v>54060</v>
      </c>
      <c r="F7" s="178">
        <f t="shared" si="0"/>
        <v>2.72</v>
      </c>
      <c r="G7" s="662">
        <f t="shared" ref="G7:G12" si="2">C7-C6</f>
        <v>589</v>
      </c>
      <c r="H7" s="662"/>
      <c r="I7" s="663">
        <f t="shared" si="1"/>
        <v>5.5144649377399119E-3</v>
      </c>
      <c r="J7" s="664"/>
      <c r="L7" s="529"/>
      <c r="M7" s="529"/>
      <c r="N7" s="529"/>
    </row>
    <row r="8" spans="1:14" s="532" customFormat="1" ht="17.100000000000001" customHeight="1">
      <c r="A8" s="609">
        <v>17</v>
      </c>
      <c r="B8" s="175">
        <v>40156</v>
      </c>
      <c r="C8" s="175">
        <v>107757</v>
      </c>
      <c r="D8" s="175">
        <v>53166</v>
      </c>
      <c r="E8" s="175">
        <v>54591</v>
      </c>
      <c r="F8" s="178">
        <f t="shared" si="0"/>
        <v>2.68</v>
      </c>
      <c r="G8" s="662">
        <f t="shared" si="2"/>
        <v>947</v>
      </c>
      <c r="H8" s="662"/>
      <c r="I8" s="663">
        <f t="shared" si="1"/>
        <v>8.7882921759143261E-3</v>
      </c>
      <c r="J8" s="664"/>
      <c r="L8" s="533"/>
      <c r="M8" s="533"/>
      <c r="N8" s="533"/>
    </row>
    <row r="9" spans="1:14" ht="17.100000000000001" customHeight="1">
      <c r="A9" s="609">
        <v>18</v>
      </c>
      <c r="B9" s="531">
        <v>40933</v>
      </c>
      <c r="C9" s="175">
        <v>108631</v>
      </c>
      <c r="D9" s="175">
        <v>53484</v>
      </c>
      <c r="E9" s="175">
        <v>55147</v>
      </c>
      <c r="F9" s="178">
        <f t="shared" si="0"/>
        <v>2.65</v>
      </c>
      <c r="G9" s="662">
        <f t="shared" si="2"/>
        <v>874</v>
      </c>
      <c r="H9" s="662"/>
      <c r="I9" s="663">
        <f t="shared" si="1"/>
        <v>8.0455855142638841E-3</v>
      </c>
      <c r="J9" s="664"/>
      <c r="L9" s="529"/>
      <c r="M9" s="529"/>
      <c r="N9" s="529"/>
    </row>
    <row r="10" spans="1:14" ht="17.100000000000001" customHeight="1">
      <c r="A10" s="609">
        <v>19</v>
      </c>
      <c r="B10" s="176">
        <v>41778</v>
      </c>
      <c r="C10" s="177">
        <v>109417</v>
      </c>
      <c r="D10" s="177">
        <v>53757</v>
      </c>
      <c r="E10" s="177">
        <v>55660</v>
      </c>
      <c r="F10" s="178">
        <f t="shared" si="0"/>
        <v>2.62</v>
      </c>
      <c r="G10" s="662">
        <f t="shared" si="2"/>
        <v>786</v>
      </c>
      <c r="H10" s="662"/>
      <c r="I10" s="663">
        <f t="shared" si="1"/>
        <v>7.1835272398256215E-3</v>
      </c>
      <c r="J10" s="664"/>
      <c r="L10" s="529"/>
      <c r="M10" s="529"/>
      <c r="N10" s="529"/>
    </row>
    <row r="11" spans="1:14" s="532" customFormat="1" ht="17.100000000000001" customHeight="1">
      <c r="A11" s="609">
        <v>20</v>
      </c>
      <c r="B11" s="176">
        <v>42504</v>
      </c>
      <c r="C11" s="177">
        <f>SUM(D11:E11)</f>
        <v>110106</v>
      </c>
      <c r="D11" s="177">
        <v>53971</v>
      </c>
      <c r="E11" s="177">
        <v>56135</v>
      </c>
      <c r="F11" s="178">
        <f t="shared" si="0"/>
        <v>2.59</v>
      </c>
      <c r="G11" s="662">
        <f t="shared" si="2"/>
        <v>689</v>
      </c>
      <c r="H11" s="662"/>
      <c r="I11" s="663">
        <f t="shared" si="1"/>
        <v>6.2576063066499552E-3</v>
      </c>
      <c r="J11" s="664"/>
      <c r="L11" s="533"/>
      <c r="M11" s="533"/>
      <c r="N11" s="533"/>
    </row>
    <row r="12" spans="1:14" s="532" customFormat="1" ht="17.100000000000001" customHeight="1">
      <c r="A12" s="609">
        <v>21</v>
      </c>
      <c r="B12" s="177">
        <v>43263</v>
      </c>
      <c r="C12" s="177">
        <f>SUM(D12:E12)</f>
        <v>110989</v>
      </c>
      <c r="D12" s="177">
        <v>54426</v>
      </c>
      <c r="E12" s="177">
        <v>56563</v>
      </c>
      <c r="F12" s="178">
        <f t="shared" si="0"/>
        <v>2.57</v>
      </c>
      <c r="G12" s="662">
        <f t="shared" si="2"/>
        <v>883</v>
      </c>
      <c r="H12" s="662"/>
      <c r="I12" s="663">
        <f t="shared" si="1"/>
        <v>7.9557433619547886E-3</v>
      </c>
      <c r="J12" s="664"/>
      <c r="L12" s="533"/>
      <c r="M12" s="533"/>
      <c r="N12" s="533"/>
    </row>
    <row r="13" spans="1:14" ht="17.100000000000001" customHeight="1">
      <c r="A13" s="609">
        <v>22</v>
      </c>
      <c r="B13" s="176">
        <v>43849</v>
      </c>
      <c r="C13" s="177">
        <f>SUM(D13:E13)</f>
        <v>111595</v>
      </c>
      <c r="D13" s="177">
        <v>54612</v>
      </c>
      <c r="E13" s="177">
        <v>56983</v>
      </c>
      <c r="F13" s="178">
        <f t="shared" si="0"/>
        <v>2.54</v>
      </c>
      <c r="G13" s="662">
        <f>C13-C12</f>
        <v>606</v>
      </c>
      <c r="H13" s="662"/>
      <c r="I13" s="663">
        <f t="shared" si="1"/>
        <v>5.4303508221694519E-3</v>
      </c>
      <c r="J13" s="664"/>
      <c r="L13" s="529"/>
      <c r="M13" s="529"/>
      <c r="N13" s="529"/>
    </row>
    <row r="14" spans="1:14" ht="17.100000000000001" customHeight="1">
      <c r="A14" s="609">
        <v>23</v>
      </c>
      <c r="B14" s="176">
        <v>44675</v>
      </c>
      <c r="C14" s="177">
        <f>SUM(D14:E14)</f>
        <v>112277</v>
      </c>
      <c r="D14" s="177">
        <v>54927</v>
      </c>
      <c r="E14" s="177">
        <v>57350</v>
      </c>
      <c r="F14" s="178">
        <f>ROUND(C14/B14,2)</f>
        <v>2.5099999999999998</v>
      </c>
      <c r="G14" s="674">
        <f>C14-C13</f>
        <v>682</v>
      </c>
      <c r="H14" s="674"/>
      <c r="I14" s="663">
        <f t="shared" si="1"/>
        <v>6.074262760850397E-3</v>
      </c>
      <c r="J14" s="664"/>
      <c r="L14" s="529"/>
      <c r="M14" s="529"/>
      <c r="N14" s="529"/>
    </row>
    <row r="15" spans="1:14" ht="17.100000000000001" customHeight="1" thickBot="1">
      <c r="A15" s="610">
        <v>24</v>
      </c>
      <c r="B15" s="534">
        <v>45783</v>
      </c>
      <c r="C15" s="535">
        <f>SUM(D15:E15)</f>
        <v>113745</v>
      </c>
      <c r="D15" s="535">
        <v>55780</v>
      </c>
      <c r="E15" s="535">
        <v>57965</v>
      </c>
      <c r="F15" s="536">
        <f>ROUND(C15/B15,2)</f>
        <v>2.48</v>
      </c>
      <c r="G15" s="670">
        <f>C15-C14</f>
        <v>1468</v>
      </c>
      <c r="H15" s="670"/>
      <c r="I15" s="672">
        <f t="shared" si="1"/>
        <v>1.2906061804914501E-2</v>
      </c>
      <c r="J15" s="673"/>
      <c r="L15" s="529"/>
      <c r="M15" s="529"/>
      <c r="N15" s="529"/>
    </row>
    <row r="16" spans="1:14" ht="17.100000000000001" customHeight="1">
      <c r="A16" s="537" t="s">
        <v>698</v>
      </c>
      <c r="B16" s="183"/>
      <c r="C16" s="183"/>
      <c r="D16" s="183"/>
      <c r="E16" s="183"/>
      <c r="F16" s="183"/>
      <c r="G16" s="183"/>
      <c r="H16" s="183"/>
      <c r="I16" s="183"/>
      <c r="J16" s="523" t="s">
        <v>486</v>
      </c>
      <c r="L16" s="529"/>
      <c r="M16" s="529"/>
      <c r="N16" s="529"/>
    </row>
    <row r="17" spans="1:15" ht="15" customHeight="1">
      <c r="A17" s="522"/>
      <c r="B17" s="183"/>
      <c r="C17" s="183"/>
      <c r="D17" s="183"/>
      <c r="E17" s="183"/>
      <c r="F17" s="183"/>
      <c r="G17" s="183"/>
      <c r="H17" s="183"/>
      <c r="I17" s="183"/>
      <c r="J17" s="183"/>
      <c r="L17" s="529"/>
      <c r="M17" s="529"/>
      <c r="N17" s="529"/>
    </row>
    <row r="18" spans="1:15" ht="15" customHeight="1" thickBot="1">
      <c r="A18" s="522" t="s">
        <v>487</v>
      </c>
      <c r="B18" s="183"/>
      <c r="C18" s="183"/>
      <c r="D18" s="183"/>
      <c r="E18" s="183"/>
      <c r="F18" s="183"/>
      <c r="G18" s="183"/>
      <c r="H18" s="183"/>
      <c r="I18" s="183"/>
      <c r="J18" s="523" t="s">
        <v>471</v>
      </c>
      <c r="L18" s="529"/>
      <c r="M18" s="529"/>
    </row>
    <row r="19" spans="1:15" ht="15" customHeight="1">
      <c r="A19" s="655" t="s">
        <v>488</v>
      </c>
      <c r="B19" s="657" t="s">
        <v>473</v>
      </c>
      <c r="C19" s="659" t="s">
        <v>489</v>
      </c>
      <c r="D19" s="660"/>
      <c r="E19" s="661"/>
      <c r="F19" s="524" t="s">
        <v>490</v>
      </c>
      <c r="G19" s="659" t="s">
        <v>21</v>
      </c>
      <c r="H19" s="661"/>
      <c r="I19" s="659" t="s">
        <v>21</v>
      </c>
      <c r="J19" s="665"/>
      <c r="K19" s="537"/>
      <c r="L19" s="529"/>
      <c r="M19" s="529"/>
    </row>
    <row r="20" spans="1:15" ht="20.100000000000001" customHeight="1">
      <c r="A20" s="656"/>
      <c r="B20" s="658"/>
      <c r="C20" s="526" t="s">
        <v>491</v>
      </c>
      <c r="D20" s="526" t="s">
        <v>492</v>
      </c>
      <c r="E20" s="526" t="s">
        <v>493</v>
      </c>
      <c r="F20" s="525" t="s">
        <v>479</v>
      </c>
      <c r="G20" s="666" t="s">
        <v>25</v>
      </c>
      <c r="H20" s="667"/>
      <c r="I20" s="666" t="s">
        <v>26</v>
      </c>
      <c r="J20" s="668"/>
      <c r="K20" s="183"/>
      <c r="O20" s="529"/>
    </row>
    <row r="21" spans="1:15" ht="20.100000000000001" customHeight="1">
      <c r="A21" s="528" t="s">
        <v>654</v>
      </c>
      <c r="B21" s="531">
        <v>38206</v>
      </c>
      <c r="C21" s="175">
        <f>D21+E21</f>
        <v>105532</v>
      </c>
      <c r="D21" s="175">
        <v>52108</v>
      </c>
      <c r="E21" s="175">
        <v>53424</v>
      </c>
      <c r="F21" s="178">
        <f t="shared" ref="F21:F29" si="3">ROUND(C21/B21,2)</f>
        <v>2.76</v>
      </c>
      <c r="G21" s="669">
        <v>825</v>
      </c>
      <c r="H21" s="669"/>
      <c r="I21" s="663">
        <f t="shared" ref="I21:I27" si="4">G21/C21</f>
        <v>7.8175340181177271E-3</v>
      </c>
      <c r="J21" s="664"/>
    </row>
    <row r="22" spans="1:15" ht="17.100000000000001" customHeight="1">
      <c r="A22" s="530" t="s">
        <v>481</v>
      </c>
      <c r="B22" s="531">
        <v>38796</v>
      </c>
      <c r="C22" s="175">
        <f>D22+E22</f>
        <v>106270</v>
      </c>
      <c r="D22" s="175">
        <v>52496</v>
      </c>
      <c r="E22" s="175">
        <v>53774</v>
      </c>
      <c r="F22" s="178">
        <f t="shared" si="3"/>
        <v>2.74</v>
      </c>
      <c r="G22" s="669">
        <f t="shared" ref="G22:G27" si="5">C22-C21</f>
        <v>738</v>
      </c>
      <c r="H22" s="669"/>
      <c r="I22" s="663">
        <f t="shared" si="4"/>
        <v>6.944575138797403E-3</v>
      </c>
      <c r="J22" s="664"/>
    </row>
    <row r="23" spans="1:15" ht="17.100000000000001" customHeight="1">
      <c r="A23" s="530" t="s">
        <v>482</v>
      </c>
      <c r="B23" s="531">
        <v>39504</v>
      </c>
      <c r="C23" s="175">
        <v>107026</v>
      </c>
      <c r="D23" s="175">
        <v>52822</v>
      </c>
      <c r="E23" s="175">
        <v>54204</v>
      </c>
      <c r="F23" s="178">
        <f t="shared" si="3"/>
        <v>2.71</v>
      </c>
      <c r="G23" s="669">
        <f t="shared" si="5"/>
        <v>756</v>
      </c>
      <c r="H23" s="669"/>
      <c r="I23" s="663">
        <f t="shared" si="4"/>
        <v>7.0637041466559526E-3</v>
      </c>
      <c r="J23" s="664"/>
    </row>
    <row r="24" spans="1:15" ht="17.100000000000001" customHeight="1">
      <c r="A24" s="530" t="s">
        <v>494</v>
      </c>
      <c r="B24" s="531">
        <v>40384</v>
      </c>
      <c r="C24" s="175">
        <v>107980</v>
      </c>
      <c r="D24" s="175">
        <v>53237</v>
      </c>
      <c r="E24" s="175">
        <v>54743</v>
      </c>
      <c r="F24" s="178">
        <f t="shared" si="3"/>
        <v>2.67</v>
      </c>
      <c r="G24" s="669">
        <f t="shared" si="5"/>
        <v>954</v>
      </c>
      <c r="H24" s="669"/>
      <c r="I24" s="663">
        <f t="shared" si="4"/>
        <v>8.8349694387849596E-3</v>
      </c>
      <c r="J24" s="664"/>
    </row>
    <row r="25" spans="1:15" ht="17.100000000000001" customHeight="1">
      <c r="A25" s="530" t="s">
        <v>483</v>
      </c>
      <c r="B25" s="176">
        <v>41146</v>
      </c>
      <c r="C25" s="177">
        <v>108707</v>
      </c>
      <c r="D25" s="175">
        <v>53461</v>
      </c>
      <c r="E25" s="177">
        <v>55246</v>
      </c>
      <c r="F25" s="178">
        <f t="shared" si="3"/>
        <v>2.64</v>
      </c>
      <c r="G25" s="669">
        <f t="shared" si="5"/>
        <v>727</v>
      </c>
      <c r="H25" s="669"/>
      <c r="I25" s="663">
        <f t="shared" si="4"/>
        <v>6.6877018039316694E-3</v>
      </c>
      <c r="J25" s="664"/>
    </row>
    <row r="26" spans="1:15" ht="17.100000000000001" customHeight="1">
      <c r="A26" s="530" t="s">
        <v>484</v>
      </c>
      <c r="B26" s="176">
        <v>41960</v>
      </c>
      <c r="C26" s="177">
        <v>109373</v>
      </c>
      <c r="D26" s="175">
        <v>53683</v>
      </c>
      <c r="E26" s="177">
        <v>55690</v>
      </c>
      <c r="F26" s="178">
        <f t="shared" si="3"/>
        <v>2.61</v>
      </c>
      <c r="G26" s="669">
        <f t="shared" si="5"/>
        <v>666</v>
      </c>
      <c r="H26" s="669"/>
      <c r="I26" s="663">
        <f t="shared" si="4"/>
        <v>6.0892542035054353E-3</v>
      </c>
      <c r="J26" s="664"/>
    </row>
    <row r="27" spans="1:15" s="532" customFormat="1" ht="17.100000000000001" customHeight="1">
      <c r="A27" s="530" t="s">
        <v>485</v>
      </c>
      <c r="B27" s="177">
        <v>42695</v>
      </c>
      <c r="C27" s="177">
        <f>SUM(D27,E27)</f>
        <v>110285</v>
      </c>
      <c r="D27" s="175">
        <v>54111</v>
      </c>
      <c r="E27" s="177">
        <v>56174</v>
      </c>
      <c r="F27" s="178">
        <f t="shared" si="3"/>
        <v>2.58</v>
      </c>
      <c r="G27" s="669">
        <f t="shared" si="5"/>
        <v>912</v>
      </c>
      <c r="H27" s="669"/>
      <c r="I27" s="663">
        <f t="shared" si="4"/>
        <v>8.2694836106451466E-3</v>
      </c>
      <c r="J27" s="664"/>
    </row>
    <row r="28" spans="1:15" s="532" customFormat="1" ht="17.100000000000001" customHeight="1">
      <c r="A28" s="530" t="s">
        <v>656</v>
      </c>
      <c r="B28" s="177">
        <v>43388</v>
      </c>
      <c r="C28" s="177">
        <v>110894</v>
      </c>
      <c r="D28" s="175">
        <v>54406</v>
      </c>
      <c r="E28" s="177">
        <v>56488</v>
      </c>
      <c r="F28" s="178">
        <f t="shared" si="3"/>
        <v>2.56</v>
      </c>
      <c r="G28" s="669">
        <f>C28-C27</f>
        <v>609</v>
      </c>
      <c r="H28" s="669"/>
      <c r="I28" s="663">
        <f>G28/C28</f>
        <v>5.4917308420653959E-3</v>
      </c>
      <c r="J28" s="664"/>
      <c r="K28" s="538"/>
      <c r="L28" s="533"/>
    </row>
    <row r="29" spans="1:15" s="532" customFormat="1" ht="17.100000000000001" customHeight="1">
      <c r="A29" s="530" t="s">
        <v>655</v>
      </c>
      <c r="B29" s="177">
        <v>43957</v>
      </c>
      <c r="C29" s="177">
        <v>111463</v>
      </c>
      <c r="D29" s="175">
        <v>54524</v>
      </c>
      <c r="E29" s="177">
        <v>56939</v>
      </c>
      <c r="F29" s="178">
        <f t="shared" si="3"/>
        <v>2.54</v>
      </c>
      <c r="G29" s="669">
        <f>C29-C28</f>
        <v>569</v>
      </c>
      <c r="H29" s="669"/>
      <c r="I29" s="663">
        <f>G29/C29</f>
        <v>5.1048329939082926E-3</v>
      </c>
      <c r="J29" s="664"/>
    </row>
    <row r="30" spans="1:15" ht="17.100000000000001" customHeight="1" thickBot="1">
      <c r="A30" s="539" t="s">
        <v>680</v>
      </c>
      <c r="B30" s="534">
        <v>44915</v>
      </c>
      <c r="C30" s="535">
        <f>SUM(D30:E30)</f>
        <v>112413</v>
      </c>
      <c r="D30" s="535">
        <v>54970</v>
      </c>
      <c r="E30" s="535">
        <v>57443</v>
      </c>
      <c r="F30" s="536">
        <f>ROUND(C30/B30,2)</f>
        <v>2.5</v>
      </c>
      <c r="G30" s="671">
        <f>+C30-C29</f>
        <v>950</v>
      </c>
      <c r="H30" s="671"/>
      <c r="I30" s="672">
        <f>G30/C30</f>
        <v>8.4509798688763762E-3</v>
      </c>
      <c r="J30" s="673"/>
    </row>
    <row r="31" spans="1:15" ht="17.100000000000001" customHeight="1">
      <c r="B31" s="183"/>
      <c r="C31" s="183"/>
      <c r="D31" s="183"/>
      <c r="E31" s="183"/>
      <c r="F31" s="183"/>
      <c r="G31" s="183"/>
      <c r="H31" s="183"/>
      <c r="I31" s="183"/>
      <c r="J31" s="523" t="s">
        <v>486</v>
      </c>
    </row>
    <row r="32" spans="1:15" ht="17.100000000000001" customHeight="1">
      <c r="A32" s="522" t="s">
        <v>30</v>
      </c>
      <c r="B32" s="183"/>
      <c r="C32" s="183"/>
      <c r="D32" s="183"/>
      <c r="E32" s="183"/>
      <c r="F32" s="183"/>
      <c r="G32" s="183"/>
      <c r="H32" s="183"/>
      <c r="I32" s="183"/>
      <c r="J32" s="183"/>
      <c r="K32" s="540">
        <f>+G30/C29</f>
        <v>8.5230076348205234E-3</v>
      </c>
    </row>
    <row r="33" spans="1:10" ht="15" customHeight="1" thickBot="1">
      <c r="A33" s="522" t="s">
        <v>495</v>
      </c>
      <c r="B33" s="183"/>
      <c r="C33" s="183"/>
      <c r="D33" s="183"/>
      <c r="E33" s="183"/>
      <c r="F33" s="183"/>
      <c r="G33" s="183"/>
      <c r="H33" s="183"/>
      <c r="I33" s="183"/>
      <c r="J33" s="523" t="s">
        <v>496</v>
      </c>
    </row>
    <row r="34" spans="1:10" ht="15" customHeight="1">
      <c r="A34" s="655" t="s">
        <v>497</v>
      </c>
      <c r="B34" s="676" t="s">
        <v>498</v>
      </c>
      <c r="C34" s="677"/>
      <c r="D34" s="678"/>
      <c r="E34" s="676" t="s">
        <v>499</v>
      </c>
      <c r="F34" s="677"/>
      <c r="G34" s="678"/>
      <c r="H34" s="676" t="s">
        <v>500</v>
      </c>
      <c r="I34" s="677"/>
      <c r="J34" s="679"/>
    </row>
    <row r="35" spans="1:10" ht="15" customHeight="1">
      <c r="A35" s="675"/>
      <c r="B35" s="680" t="s">
        <v>501</v>
      </c>
      <c r="C35" s="681"/>
      <c r="D35" s="682"/>
      <c r="E35" s="680" t="s">
        <v>502</v>
      </c>
      <c r="F35" s="681"/>
      <c r="G35" s="682"/>
      <c r="H35" s="680" t="s">
        <v>503</v>
      </c>
      <c r="I35" s="681"/>
      <c r="J35" s="683"/>
    </row>
    <row r="36" spans="1:10" ht="20.100000000000001" customHeight="1">
      <c r="A36" s="656"/>
      <c r="B36" s="526" t="s">
        <v>504</v>
      </c>
      <c r="C36" s="526" t="s">
        <v>505</v>
      </c>
      <c r="D36" s="526" t="s">
        <v>506</v>
      </c>
      <c r="E36" s="526" t="s">
        <v>504</v>
      </c>
      <c r="F36" s="526" t="s">
        <v>505</v>
      </c>
      <c r="G36" s="527" t="s">
        <v>506</v>
      </c>
      <c r="H36" s="527" t="s">
        <v>504</v>
      </c>
      <c r="I36" s="526" t="s">
        <v>505</v>
      </c>
      <c r="J36" s="541" t="s">
        <v>506</v>
      </c>
    </row>
    <row r="37" spans="1:10" ht="20.100000000000001" customHeight="1">
      <c r="A37" s="542" t="s">
        <v>654</v>
      </c>
      <c r="B37" s="179">
        <f t="shared" ref="B37:B46" si="6">SUM(C37:D37)</f>
        <v>22092</v>
      </c>
      <c r="C37" s="180">
        <v>11462</v>
      </c>
      <c r="D37" s="180">
        <v>10630</v>
      </c>
      <c r="E37" s="180">
        <f>SUM(F37:G37)</f>
        <v>71987</v>
      </c>
      <c r="F37" s="180">
        <v>35763</v>
      </c>
      <c r="G37" s="180">
        <v>36224</v>
      </c>
      <c r="H37" s="180">
        <f>SUM(I37:J37)</f>
        <v>11453</v>
      </c>
      <c r="I37" s="181">
        <v>4883</v>
      </c>
      <c r="J37" s="639">
        <v>6570</v>
      </c>
    </row>
    <row r="38" spans="1:10" ht="20.100000000000001" customHeight="1">
      <c r="A38" s="543" t="s">
        <v>481</v>
      </c>
      <c r="B38" s="179">
        <f t="shared" si="6"/>
        <v>22043</v>
      </c>
      <c r="C38" s="180">
        <v>11502</v>
      </c>
      <c r="D38" s="180">
        <v>10541</v>
      </c>
      <c r="E38" s="180">
        <v>72233</v>
      </c>
      <c r="F38" s="180">
        <v>35837</v>
      </c>
      <c r="G38" s="180">
        <v>36396</v>
      </c>
      <c r="H38" s="180">
        <v>11994</v>
      </c>
      <c r="I38" s="181">
        <v>5157</v>
      </c>
      <c r="J38" s="639">
        <v>6837</v>
      </c>
    </row>
    <row r="39" spans="1:10" ht="20.100000000000001" customHeight="1">
      <c r="A39" s="543" t="s">
        <v>482</v>
      </c>
      <c r="B39" s="179">
        <f t="shared" si="6"/>
        <v>21973</v>
      </c>
      <c r="C39" s="180">
        <v>11437</v>
      </c>
      <c r="D39" s="180">
        <v>10536</v>
      </c>
      <c r="E39" s="180">
        <v>72431</v>
      </c>
      <c r="F39" s="180">
        <v>35933</v>
      </c>
      <c r="G39" s="180">
        <v>36498</v>
      </c>
      <c r="H39" s="180">
        <v>12622</v>
      </c>
      <c r="I39" s="181">
        <v>5452</v>
      </c>
      <c r="J39" s="639">
        <v>7170</v>
      </c>
    </row>
    <row r="40" spans="1:10" ht="17.100000000000001" customHeight="1">
      <c r="A40" s="543" t="s">
        <v>494</v>
      </c>
      <c r="B40" s="179">
        <f t="shared" si="6"/>
        <v>21824</v>
      </c>
      <c r="C40" s="180">
        <v>11316</v>
      </c>
      <c r="D40" s="180">
        <v>10508</v>
      </c>
      <c r="E40" s="180">
        <v>72872</v>
      </c>
      <c r="F40" s="180">
        <v>36147</v>
      </c>
      <c r="G40" s="181">
        <v>36725</v>
      </c>
      <c r="H40" s="181">
        <v>13284</v>
      </c>
      <c r="I40" s="181">
        <v>5774</v>
      </c>
      <c r="J40" s="639">
        <v>7510</v>
      </c>
    </row>
    <row r="41" spans="1:10" s="532" customFormat="1" ht="17.100000000000001" customHeight="1">
      <c r="A41" s="530" t="s">
        <v>483</v>
      </c>
      <c r="B41" s="509">
        <f t="shared" si="6"/>
        <v>21798</v>
      </c>
      <c r="C41" s="182">
        <v>11288</v>
      </c>
      <c r="D41" s="182">
        <v>10510</v>
      </c>
      <c r="E41" s="182">
        <v>72960</v>
      </c>
      <c r="F41" s="182">
        <v>36113</v>
      </c>
      <c r="G41" s="182">
        <v>36847</v>
      </c>
      <c r="H41" s="182">
        <v>13949</v>
      </c>
      <c r="I41" s="637">
        <v>6060</v>
      </c>
      <c r="J41" s="640">
        <v>7889</v>
      </c>
    </row>
    <row r="42" spans="1:10" ht="17.100000000000001" customHeight="1">
      <c r="A42" s="530" t="s">
        <v>682</v>
      </c>
      <c r="B42" s="509">
        <f t="shared" si="6"/>
        <v>21675</v>
      </c>
      <c r="C42" s="182">
        <v>11185</v>
      </c>
      <c r="D42" s="182">
        <v>10490</v>
      </c>
      <c r="E42" s="182">
        <v>73165</v>
      </c>
      <c r="F42" s="182">
        <v>36164</v>
      </c>
      <c r="G42" s="182">
        <v>37001</v>
      </c>
      <c r="H42" s="180">
        <f>I42+J42</f>
        <v>14533</v>
      </c>
      <c r="I42" s="637">
        <v>6334</v>
      </c>
      <c r="J42" s="640">
        <v>8199</v>
      </c>
    </row>
    <row r="43" spans="1:10" ht="17.100000000000001" customHeight="1">
      <c r="A43" s="530" t="s">
        <v>485</v>
      </c>
      <c r="B43" s="182">
        <f t="shared" si="6"/>
        <v>21678</v>
      </c>
      <c r="C43" s="182">
        <v>11210</v>
      </c>
      <c r="D43" s="182">
        <v>10468</v>
      </c>
      <c r="E43" s="182">
        <f>SUM(F43:G43)</f>
        <v>73440</v>
      </c>
      <c r="F43" s="182">
        <v>36275</v>
      </c>
      <c r="G43" s="182">
        <v>37165</v>
      </c>
      <c r="H43" s="180">
        <f>SUM(I43:J43)</f>
        <v>15167</v>
      </c>
      <c r="I43" s="637">
        <v>6626</v>
      </c>
      <c r="J43" s="640">
        <v>8541</v>
      </c>
    </row>
    <row r="44" spans="1:10" s="532" customFormat="1" ht="17.100000000000001" customHeight="1">
      <c r="A44" s="530" t="s">
        <v>656</v>
      </c>
      <c r="B44" s="182">
        <f t="shared" si="6"/>
        <v>21673</v>
      </c>
      <c r="C44" s="182">
        <v>11221</v>
      </c>
      <c r="D44" s="182">
        <v>10452</v>
      </c>
      <c r="E44" s="182">
        <f>SUM(F44:G44)</f>
        <v>73695</v>
      </c>
      <c r="F44" s="182">
        <v>36401</v>
      </c>
      <c r="G44" s="182">
        <v>37294</v>
      </c>
      <c r="H44" s="180">
        <f>SUM(I44:J44)</f>
        <v>15526</v>
      </c>
      <c r="I44" s="637">
        <v>6784</v>
      </c>
      <c r="J44" s="640">
        <v>8742</v>
      </c>
    </row>
    <row r="45" spans="1:10" s="532" customFormat="1" ht="17.100000000000001" customHeight="1">
      <c r="A45" s="530" t="s">
        <v>657</v>
      </c>
      <c r="B45" s="509">
        <f t="shared" si="6"/>
        <v>21601</v>
      </c>
      <c r="C45" s="182">
        <v>11119</v>
      </c>
      <c r="D45" s="182">
        <v>10482</v>
      </c>
      <c r="E45" s="182">
        <v>74384</v>
      </c>
      <c r="F45" s="182">
        <v>36650</v>
      </c>
      <c r="G45" s="182">
        <v>37734</v>
      </c>
      <c r="H45" s="180">
        <f>SUM(I45:J45)</f>
        <v>15478</v>
      </c>
      <c r="I45" s="637">
        <v>6755</v>
      </c>
      <c r="J45" s="640">
        <v>8723</v>
      </c>
    </row>
    <row r="46" spans="1:10" ht="17.100000000000001" customHeight="1" thickBot="1">
      <c r="A46" s="539" t="s">
        <v>681</v>
      </c>
      <c r="B46" s="544">
        <f t="shared" si="6"/>
        <v>21691</v>
      </c>
      <c r="C46" s="544">
        <v>11139</v>
      </c>
      <c r="D46" s="544">
        <v>10552</v>
      </c>
      <c r="E46" s="544">
        <f>SUM(F46:G46)</f>
        <v>74876</v>
      </c>
      <c r="F46" s="544">
        <v>36934</v>
      </c>
      <c r="G46" s="544">
        <v>37942</v>
      </c>
      <c r="H46" s="545">
        <f>SUM(I46:J46)</f>
        <v>15846</v>
      </c>
      <c r="I46" s="638">
        <v>6897</v>
      </c>
      <c r="J46" s="641">
        <v>8949</v>
      </c>
    </row>
    <row r="47" spans="1:10" ht="17.100000000000001" customHeight="1">
      <c r="A47" s="546"/>
      <c r="B47" s="183"/>
      <c r="C47" s="183"/>
      <c r="D47" s="183"/>
      <c r="E47" s="183"/>
      <c r="F47" s="183"/>
      <c r="G47" s="183"/>
      <c r="H47" s="183"/>
      <c r="I47" s="183"/>
      <c r="J47" s="523" t="s">
        <v>507</v>
      </c>
    </row>
    <row r="50" ht="15" customHeight="1"/>
  </sheetData>
  <sheetProtection selectLockedCells="1" selectUnlockedCells="1"/>
  <mergeCells count="61">
    <mergeCell ref="I25:J25"/>
    <mergeCell ref="I28:J28"/>
    <mergeCell ref="G27:H27"/>
    <mergeCell ref="G26:H26"/>
    <mergeCell ref="I26:J26"/>
    <mergeCell ref="G28:H28"/>
    <mergeCell ref="A34:A36"/>
    <mergeCell ref="B34:D34"/>
    <mergeCell ref="E34:G34"/>
    <mergeCell ref="H34:J34"/>
    <mergeCell ref="B35:D35"/>
    <mergeCell ref="E35:G35"/>
    <mergeCell ref="H35:J35"/>
    <mergeCell ref="I14:J14"/>
    <mergeCell ref="G21:H21"/>
    <mergeCell ref="I21:J21"/>
    <mergeCell ref="G15:H15"/>
    <mergeCell ref="G30:H30"/>
    <mergeCell ref="I30:J30"/>
    <mergeCell ref="G29:H29"/>
    <mergeCell ref="I29:J29"/>
    <mergeCell ref="G24:H24"/>
    <mergeCell ref="G14:H14"/>
    <mergeCell ref="I24:J24"/>
    <mergeCell ref="G22:H22"/>
    <mergeCell ref="I22:J22"/>
    <mergeCell ref="I15:J15"/>
    <mergeCell ref="I27:J27"/>
    <mergeCell ref="G25:H25"/>
    <mergeCell ref="A19:A20"/>
    <mergeCell ref="B19:B20"/>
    <mergeCell ref="C19:E19"/>
    <mergeCell ref="G19:H19"/>
    <mergeCell ref="G20:H20"/>
    <mergeCell ref="G23:H23"/>
    <mergeCell ref="I23:J23"/>
    <mergeCell ref="G8:H8"/>
    <mergeCell ref="I8:J8"/>
    <mergeCell ref="G9:H9"/>
    <mergeCell ref="I9:J9"/>
    <mergeCell ref="G10:H10"/>
    <mergeCell ref="G12:H12"/>
    <mergeCell ref="G13:H13"/>
    <mergeCell ref="I13:J13"/>
    <mergeCell ref="I12:J12"/>
    <mergeCell ref="I10:J10"/>
    <mergeCell ref="G11:H11"/>
    <mergeCell ref="I11:J11"/>
    <mergeCell ref="I19:J19"/>
    <mergeCell ref="I20:J20"/>
    <mergeCell ref="I6:J6"/>
    <mergeCell ref="I7:J7"/>
    <mergeCell ref="G7:H7"/>
    <mergeCell ref="I4:J4"/>
    <mergeCell ref="G5:H5"/>
    <mergeCell ref="I5:J5"/>
    <mergeCell ref="A4:A5"/>
    <mergeCell ref="B4:B5"/>
    <mergeCell ref="C4:E4"/>
    <mergeCell ref="G4:H4"/>
    <mergeCell ref="G6:H6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verticalDpi="300" r:id="rId1"/>
  <headerFooter alignWithMargins="0">
    <oddHeader>&amp;R&amp;"ＭＳ 明朝,標準"&amp;10人　口</oddHeader>
    <oddFooter>&amp;C&amp;"ＭＳ 明朝,標準"&amp;10&amp;A</oddFooter>
  </headerFooter>
  <ignoredErrors>
    <ignoredError sqref="B38:B4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65536"/>
  <sheetViews>
    <sheetView view="pageBreakPreview" topLeftCell="A7" zoomScale="115" zoomScaleNormal="120" zoomScaleSheetLayoutView="115" workbookViewId="0">
      <pane xSplit="1" ySplit="3" topLeftCell="B43" activePane="bottomRight" state="frozen"/>
      <selection activeCell="A7" sqref="A7"/>
      <selection pane="topRight" activeCell="B7" sqref="B7"/>
      <selection pane="bottomLeft" activeCell="A10" sqref="A10"/>
      <selection pane="bottomRight" activeCell="D39" sqref="D39"/>
    </sheetView>
  </sheetViews>
  <sheetFormatPr defaultRowHeight="15" customHeight="1"/>
  <cols>
    <col min="1" max="1" width="12.25" style="5" customWidth="1"/>
    <col min="2" max="7" width="13.25" style="5" customWidth="1"/>
    <col min="8" max="8" width="11.125" style="5" bestFit="1" customWidth="1"/>
    <col min="9" max="16384" width="9" style="5"/>
  </cols>
  <sheetData>
    <row r="1" spans="1:8" ht="5.0999999999999996" customHeight="1">
      <c r="A1" s="86"/>
      <c r="B1" s="798"/>
      <c r="C1" s="798"/>
      <c r="D1" s="798"/>
      <c r="E1" s="798"/>
      <c r="F1" s="798"/>
      <c r="G1" s="798"/>
    </row>
    <row r="2" spans="1:8" ht="15" customHeight="1">
      <c r="A2" s="86" t="s">
        <v>308</v>
      </c>
      <c r="B2" s="61"/>
      <c r="C2" s="61"/>
      <c r="D2" s="61"/>
      <c r="E2" s="61"/>
      <c r="F2" s="61"/>
      <c r="G2" s="61"/>
    </row>
    <row r="3" spans="1:8" ht="5.0999999999999996" customHeight="1">
      <c r="A3" s="86"/>
      <c r="B3" s="61"/>
      <c r="C3" s="61"/>
      <c r="D3" s="61"/>
      <c r="E3" s="61"/>
      <c r="F3" s="61"/>
      <c r="G3" s="61"/>
    </row>
    <row r="4" spans="1:8" s="87" customFormat="1" ht="129.94999999999999" customHeight="1">
      <c r="A4" s="797" t="s">
        <v>584</v>
      </c>
      <c r="B4" s="797"/>
      <c r="C4" s="797"/>
      <c r="D4" s="797"/>
      <c r="E4" s="797"/>
      <c r="F4" s="797"/>
      <c r="G4" s="797"/>
    </row>
    <row r="6" spans="1:8" ht="15" customHeight="1" thickBot="1">
      <c r="A6" s="16" t="s">
        <v>309</v>
      </c>
      <c r="G6" s="7" t="s">
        <v>18</v>
      </c>
    </row>
    <row r="7" spans="1:8" ht="20.100000000000001" customHeight="1">
      <c r="A7" s="783" t="s">
        <v>19</v>
      </c>
      <c r="B7" s="784" t="s">
        <v>266</v>
      </c>
      <c r="C7" s="806" t="s">
        <v>310</v>
      </c>
      <c r="D7" s="806"/>
      <c r="E7" s="806"/>
      <c r="F7" s="808" t="s">
        <v>311</v>
      </c>
      <c r="G7" s="205" t="s">
        <v>312</v>
      </c>
    </row>
    <row r="8" spans="1:8" ht="20.100000000000001" customHeight="1">
      <c r="A8" s="785"/>
      <c r="B8" s="781"/>
      <c r="C8" s="807"/>
      <c r="D8" s="807"/>
      <c r="E8" s="807"/>
      <c r="F8" s="809"/>
      <c r="G8" s="244" t="s">
        <v>313</v>
      </c>
    </row>
    <row r="9" spans="1:8" ht="20.100000000000001" customHeight="1">
      <c r="A9" s="785"/>
      <c r="B9" s="781"/>
      <c r="C9" s="10" t="s">
        <v>92</v>
      </c>
      <c r="D9" s="10" t="s">
        <v>23</v>
      </c>
      <c r="E9" s="10" t="s">
        <v>24</v>
      </c>
      <c r="F9" s="809"/>
      <c r="G9" s="186" t="s">
        <v>314</v>
      </c>
    </row>
    <row r="10" spans="1:8" ht="15" customHeight="1">
      <c r="A10" s="206"/>
      <c r="B10" s="89"/>
      <c r="C10" s="74"/>
      <c r="D10" s="74"/>
      <c r="E10" s="90"/>
      <c r="F10" s="91"/>
      <c r="G10" s="245"/>
    </row>
    <row r="11" spans="1:8" ht="18" customHeight="1">
      <c r="A11" s="191" t="s">
        <v>315</v>
      </c>
      <c r="B11" s="93">
        <v>2411</v>
      </c>
      <c r="C11" s="94">
        <f>D11+E11</f>
        <v>11264</v>
      </c>
      <c r="D11" s="94">
        <v>5389</v>
      </c>
      <c r="E11" s="95">
        <v>5875</v>
      </c>
      <c r="F11" s="67">
        <f>C11/B11</f>
        <v>4.6719203649937784</v>
      </c>
      <c r="G11" s="246">
        <v>-0.97</v>
      </c>
      <c r="H11" s="402"/>
    </row>
    <row r="12" spans="1:8" ht="15" customHeight="1">
      <c r="A12" s="191"/>
      <c r="B12" s="93"/>
      <c r="C12" s="94"/>
      <c r="D12" s="94"/>
      <c r="E12" s="95"/>
      <c r="F12" s="67"/>
      <c r="G12" s="246"/>
    </row>
    <row r="13" spans="1:8" ht="18" customHeight="1">
      <c r="A13" s="247">
        <v>10</v>
      </c>
      <c r="B13" s="93">
        <v>2402</v>
      </c>
      <c r="C13" s="94">
        <f>D13+E13</f>
        <v>11369</v>
      </c>
      <c r="D13" s="94">
        <v>5480</v>
      </c>
      <c r="E13" s="95">
        <v>5889</v>
      </c>
      <c r="F13" s="67">
        <f>C13/B13</f>
        <v>4.7331390507910074</v>
      </c>
      <c r="G13" s="246">
        <v>0.93</v>
      </c>
      <c r="H13" s="402">
        <f>(C13/C11)-1</f>
        <v>9.3217329545454142E-3</v>
      </c>
    </row>
    <row r="14" spans="1:8" ht="15" customHeight="1">
      <c r="A14" s="247"/>
      <c r="B14" s="93"/>
      <c r="C14" s="94"/>
      <c r="D14" s="94"/>
      <c r="E14" s="95"/>
      <c r="F14" s="67"/>
      <c r="G14" s="246"/>
    </row>
    <row r="15" spans="1:8" ht="18" customHeight="1">
      <c r="A15" s="247">
        <v>15</v>
      </c>
      <c r="B15" s="93">
        <v>2323</v>
      </c>
      <c r="C15" s="94">
        <f>D15+E15</f>
        <v>11084</v>
      </c>
      <c r="D15" s="94">
        <v>5315</v>
      </c>
      <c r="E15" s="95">
        <v>5769</v>
      </c>
      <c r="F15" s="67">
        <f>C15/B15</f>
        <v>4.7714162720619884</v>
      </c>
      <c r="G15" s="246">
        <v>-2.5099999999999998</v>
      </c>
      <c r="H15" s="402">
        <f>(C15/C13)-1</f>
        <v>-2.5068167824786713E-2</v>
      </c>
    </row>
    <row r="16" spans="1:8" ht="15" customHeight="1">
      <c r="A16" s="247"/>
      <c r="B16" s="93"/>
      <c r="C16" s="94"/>
      <c r="D16" s="94"/>
      <c r="E16" s="95"/>
      <c r="F16" s="67"/>
      <c r="G16" s="246"/>
    </row>
    <row r="17" spans="1:8" ht="18" customHeight="1">
      <c r="A17" s="247">
        <v>20</v>
      </c>
      <c r="B17" s="96" t="s">
        <v>316</v>
      </c>
      <c r="C17" s="95" t="s">
        <v>316</v>
      </c>
      <c r="D17" s="95" t="s">
        <v>316</v>
      </c>
      <c r="E17" s="95" t="s">
        <v>316</v>
      </c>
      <c r="F17" s="67" t="s">
        <v>316</v>
      </c>
      <c r="G17" s="246" t="s">
        <v>316</v>
      </c>
    </row>
    <row r="18" spans="1:8" ht="15" customHeight="1">
      <c r="A18" s="247"/>
      <c r="B18" s="93"/>
      <c r="C18" s="94"/>
      <c r="D18" s="94"/>
      <c r="E18" s="95"/>
      <c r="F18" s="67"/>
      <c r="G18" s="246"/>
    </row>
    <row r="19" spans="1:8" ht="18" customHeight="1">
      <c r="A19" s="247">
        <v>25</v>
      </c>
      <c r="B19" s="96" t="s">
        <v>316</v>
      </c>
      <c r="C19" s="94">
        <f>D19+E19</f>
        <v>11910</v>
      </c>
      <c r="D19" s="94">
        <v>5862</v>
      </c>
      <c r="E19" s="95">
        <v>6048</v>
      </c>
      <c r="F19" s="67" t="s">
        <v>316</v>
      </c>
      <c r="G19" s="246">
        <v>7.45</v>
      </c>
      <c r="H19" s="401"/>
    </row>
    <row r="20" spans="1:8" ht="15" customHeight="1">
      <c r="A20" s="247"/>
      <c r="B20" s="97"/>
      <c r="C20" s="94"/>
      <c r="D20" s="94"/>
      <c r="E20" s="95"/>
      <c r="F20" s="98"/>
      <c r="G20" s="246"/>
      <c r="H20" s="401"/>
    </row>
    <row r="21" spans="1:8" ht="18" customHeight="1">
      <c r="A21" s="247">
        <v>30</v>
      </c>
      <c r="B21" s="97">
        <v>4329</v>
      </c>
      <c r="C21" s="94">
        <f>D21+E21</f>
        <v>18832</v>
      </c>
      <c r="D21" s="94">
        <v>9146</v>
      </c>
      <c r="E21" s="95">
        <v>9686</v>
      </c>
      <c r="F21" s="67">
        <f>C21/B21</f>
        <v>4.3501963501963505</v>
      </c>
      <c r="G21" s="246">
        <v>58.12</v>
      </c>
      <c r="H21" s="402">
        <f>(C21/C19)-1</f>
        <v>0.58119227539882456</v>
      </c>
    </row>
    <row r="22" spans="1:8" ht="15" customHeight="1">
      <c r="A22" s="247"/>
      <c r="B22" s="93"/>
      <c r="C22" s="94"/>
      <c r="D22" s="94"/>
      <c r="E22" s="95"/>
      <c r="F22" s="67"/>
      <c r="G22" s="246"/>
      <c r="H22" s="401"/>
    </row>
    <row r="23" spans="1:8" ht="18" customHeight="1">
      <c r="A23" s="247">
        <v>35</v>
      </c>
      <c r="B23" s="93">
        <v>6134</v>
      </c>
      <c r="C23" s="94">
        <f>D23+E23</f>
        <v>24512</v>
      </c>
      <c r="D23" s="94">
        <v>11789</v>
      </c>
      <c r="E23" s="95">
        <v>12723</v>
      </c>
      <c r="F23" s="67">
        <f>C23/B23</f>
        <v>3.9960873818063254</v>
      </c>
      <c r="G23" s="246">
        <v>30.16</v>
      </c>
      <c r="H23" s="402">
        <f>(C23/C21)-1</f>
        <v>0.3016142735768903</v>
      </c>
    </row>
    <row r="24" spans="1:8" ht="15" customHeight="1">
      <c r="A24" s="247"/>
      <c r="B24" s="93"/>
      <c r="C24" s="94"/>
      <c r="D24" s="94"/>
      <c r="E24" s="95"/>
      <c r="F24" s="67"/>
      <c r="G24" s="246"/>
      <c r="H24" s="401"/>
    </row>
    <row r="25" spans="1:8" ht="18" customHeight="1">
      <c r="A25" s="247">
        <v>40</v>
      </c>
      <c r="B25" s="93">
        <v>7266</v>
      </c>
      <c r="C25" s="94">
        <f>D25+E25</f>
        <v>30821</v>
      </c>
      <c r="D25" s="94">
        <v>14891</v>
      </c>
      <c r="E25" s="95">
        <v>15930</v>
      </c>
      <c r="F25" s="67">
        <f>C25/B25</f>
        <v>4.2418111753371868</v>
      </c>
      <c r="G25" s="246">
        <v>25.74</v>
      </c>
      <c r="H25" s="402">
        <f>(C25/C23)-1</f>
        <v>0.257384138381201</v>
      </c>
    </row>
    <row r="26" spans="1:8" ht="15" customHeight="1">
      <c r="A26" s="247"/>
      <c r="B26" s="93"/>
      <c r="C26" s="94"/>
      <c r="D26" s="94"/>
      <c r="E26" s="95"/>
      <c r="F26" s="67"/>
      <c r="G26" s="246"/>
      <c r="H26" s="401"/>
    </row>
    <row r="27" spans="1:8" ht="18" customHeight="1">
      <c r="A27" s="247">
        <v>45</v>
      </c>
      <c r="B27" s="93">
        <v>10085</v>
      </c>
      <c r="C27" s="94">
        <f>D27+E27</f>
        <v>41768</v>
      </c>
      <c r="D27" s="94">
        <v>20362</v>
      </c>
      <c r="E27" s="95">
        <v>21406</v>
      </c>
      <c r="F27" s="67">
        <f>C27/B27</f>
        <v>4.1415964303420925</v>
      </c>
      <c r="G27" s="246">
        <v>35.520000000000003</v>
      </c>
      <c r="H27" s="402">
        <f>(C27/C25)-1</f>
        <v>0.35517990980175851</v>
      </c>
    </row>
    <row r="28" spans="1:8" ht="15" customHeight="1">
      <c r="A28" s="247"/>
      <c r="B28" s="93"/>
      <c r="C28" s="94"/>
      <c r="D28" s="94"/>
      <c r="E28" s="95"/>
      <c r="F28" s="67"/>
      <c r="G28" s="246"/>
      <c r="H28" s="401"/>
    </row>
    <row r="29" spans="1:8" ht="18" customHeight="1">
      <c r="A29" s="247">
        <v>50</v>
      </c>
      <c r="B29" s="93">
        <v>15063</v>
      </c>
      <c r="C29" s="94">
        <f>D29+E29</f>
        <v>59289</v>
      </c>
      <c r="D29" s="94">
        <v>29382</v>
      </c>
      <c r="E29" s="95">
        <v>29907</v>
      </c>
      <c r="F29" s="67">
        <f>C29/B29</f>
        <v>3.9360685122485561</v>
      </c>
      <c r="G29" s="246">
        <v>41.95</v>
      </c>
      <c r="H29" s="402">
        <f>(C29/C27)-1</f>
        <v>0.41948381536104185</v>
      </c>
    </row>
    <row r="30" spans="1:8" ht="15" customHeight="1">
      <c r="A30" s="247"/>
      <c r="B30" s="93"/>
      <c r="C30" s="94"/>
      <c r="D30" s="94"/>
      <c r="E30" s="95"/>
      <c r="F30" s="67"/>
      <c r="G30" s="246"/>
      <c r="H30" s="401"/>
    </row>
    <row r="31" spans="1:8" ht="18" customHeight="1">
      <c r="A31" s="247">
        <v>55</v>
      </c>
      <c r="B31" s="93">
        <v>19112</v>
      </c>
      <c r="C31" s="94">
        <f>D31+E31</f>
        <v>70282</v>
      </c>
      <c r="D31" s="94">
        <v>34773</v>
      </c>
      <c r="E31" s="95">
        <v>35509</v>
      </c>
      <c r="F31" s="67">
        <f>C31/B31</f>
        <v>3.6773754709083297</v>
      </c>
      <c r="G31" s="246">
        <v>18.54</v>
      </c>
      <c r="H31" s="402">
        <f>(C31/C29)-1</f>
        <v>0.18541382043886734</v>
      </c>
    </row>
    <row r="32" spans="1:8" ht="15" customHeight="1">
      <c r="A32" s="247"/>
      <c r="B32" s="93"/>
      <c r="C32" s="94"/>
      <c r="D32" s="94"/>
      <c r="E32" s="95"/>
      <c r="F32" s="67"/>
      <c r="G32" s="246"/>
      <c r="H32" s="401"/>
    </row>
    <row r="33" spans="1:8" ht="18" customHeight="1">
      <c r="A33" s="247">
        <v>60</v>
      </c>
      <c r="B33" s="93">
        <v>23579</v>
      </c>
      <c r="C33" s="94">
        <f>D33+E33</f>
        <v>81611</v>
      </c>
      <c r="D33" s="94">
        <v>40547</v>
      </c>
      <c r="E33" s="95">
        <v>41064</v>
      </c>
      <c r="F33" s="67">
        <f>C33/B33</f>
        <v>3.4611730777386658</v>
      </c>
      <c r="G33" s="246">
        <v>16.12</v>
      </c>
      <c r="H33" s="402">
        <f>(C33/C31)-1</f>
        <v>0.16119347770410641</v>
      </c>
    </row>
    <row r="34" spans="1:8" ht="15" customHeight="1">
      <c r="A34" s="248"/>
      <c r="B34" s="93"/>
      <c r="C34" s="94"/>
      <c r="D34" s="94"/>
      <c r="E34" s="95"/>
      <c r="F34" s="67"/>
      <c r="G34" s="246"/>
      <c r="H34" s="401"/>
    </row>
    <row r="35" spans="1:8" ht="18" customHeight="1">
      <c r="A35" s="248" t="s">
        <v>317</v>
      </c>
      <c r="B35" s="93">
        <v>27749</v>
      </c>
      <c r="C35" s="94">
        <f>D35+E35</f>
        <v>89994</v>
      </c>
      <c r="D35" s="94">
        <v>44316</v>
      </c>
      <c r="E35" s="95">
        <v>45678</v>
      </c>
      <c r="F35" s="67">
        <f>C35/B35</f>
        <v>3.2431438970773723</v>
      </c>
      <c r="G35" s="246">
        <v>10.27</v>
      </c>
      <c r="H35" s="402">
        <f>(C35/C33)-1</f>
        <v>0.10271899621374581</v>
      </c>
    </row>
    <row r="36" spans="1:8" ht="15" customHeight="1">
      <c r="A36" s="248"/>
      <c r="B36" s="93"/>
      <c r="C36" s="94"/>
      <c r="D36" s="94"/>
      <c r="E36" s="95"/>
      <c r="F36" s="67"/>
      <c r="G36" s="246"/>
      <c r="H36" s="401"/>
    </row>
    <row r="37" spans="1:8" ht="18" customHeight="1">
      <c r="A37" s="248" t="s">
        <v>49</v>
      </c>
      <c r="B37" s="93">
        <v>31445</v>
      </c>
      <c r="C37" s="94">
        <f>D37+E37</f>
        <v>96002</v>
      </c>
      <c r="D37" s="94">
        <v>47360</v>
      </c>
      <c r="E37" s="95">
        <v>48642</v>
      </c>
      <c r="F37" s="67">
        <f>C37/B37</f>
        <v>3.0530131976466848</v>
      </c>
      <c r="G37" s="246">
        <v>6.68</v>
      </c>
      <c r="H37" s="402">
        <f>(C37/C35)-1</f>
        <v>6.6760006222637003E-2</v>
      </c>
    </row>
    <row r="38" spans="1:8" ht="15" customHeight="1">
      <c r="A38" s="191"/>
      <c r="B38" s="93"/>
      <c r="C38" s="94"/>
      <c r="D38" s="94"/>
      <c r="E38" s="95"/>
      <c r="F38" s="67"/>
      <c r="G38" s="246"/>
      <c r="H38" s="401"/>
    </row>
    <row r="39" spans="1:8" ht="18" customHeight="1">
      <c r="A39" s="248" t="s">
        <v>318</v>
      </c>
      <c r="B39" s="93">
        <v>35884</v>
      </c>
      <c r="C39" s="94">
        <f>D39+E39</f>
        <v>102734</v>
      </c>
      <c r="D39" s="94">
        <v>50440</v>
      </c>
      <c r="E39" s="95">
        <v>52294</v>
      </c>
      <c r="F39" s="67">
        <f>C39/B39</f>
        <v>2.862947274551332</v>
      </c>
      <c r="G39" s="246">
        <v>7.01</v>
      </c>
      <c r="H39" s="402">
        <f>(C39/C37)-1</f>
        <v>7.0123539092935561E-2</v>
      </c>
    </row>
    <row r="40" spans="1:8" ht="15" customHeight="1">
      <c r="A40" s="248"/>
      <c r="B40" s="93"/>
      <c r="C40" s="94"/>
      <c r="D40" s="94"/>
      <c r="E40" s="95"/>
      <c r="F40" s="67"/>
      <c r="G40" s="246"/>
      <c r="H40" s="401"/>
    </row>
    <row r="41" spans="1:8" ht="18" customHeight="1">
      <c r="A41" s="248" t="s">
        <v>319</v>
      </c>
      <c r="B41" s="93">
        <v>38314</v>
      </c>
      <c r="C41" s="94">
        <f>D41+E41</f>
        <v>106049</v>
      </c>
      <c r="D41" s="94">
        <v>52128</v>
      </c>
      <c r="E41" s="95">
        <v>53921</v>
      </c>
      <c r="F41" s="67">
        <f>C41/B41</f>
        <v>2.7678916323015086</v>
      </c>
      <c r="G41" s="246">
        <v>3.23</v>
      </c>
      <c r="H41" s="402">
        <f>(C41/C39)-1</f>
        <v>3.2267798391963698E-2</v>
      </c>
    </row>
    <row r="42" spans="1:8" ht="15" customHeight="1">
      <c r="A42" s="191"/>
      <c r="B42" s="93"/>
      <c r="C42" s="94"/>
      <c r="D42" s="94"/>
      <c r="E42" s="95"/>
      <c r="F42" s="67"/>
      <c r="G42" s="246"/>
    </row>
    <row r="43" spans="1:8" ht="18" customHeight="1" thickBot="1">
      <c r="A43" s="649" t="s">
        <v>320</v>
      </c>
      <c r="B43" s="650">
        <v>40927</v>
      </c>
      <c r="C43" s="651">
        <f>D43+E43</f>
        <v>110351</v>
      </c>
      <c r="D43" s="651">
        <v>53948</v>
      </c>
      <c r="E43" s="652">
        <v>56403</v>
      </c>
      <c r="F43" s="653">
        <f>C43/B43</f>
        <v>2.6962885136951158</v>
      </c>
      <c r="G43" s="654">
        <v>4.0599999999999996</v>
      </c>
      <c r="H43" s="402">
        <f>(C43/C41)-1</f>
        <v>4.0566153381927261E-2</v>
      </c>
    </row>
    <row r="44" spans="1:8" ht="15" customHeight="1">
      <c r="A44" s="5" t="s">
        <v>321</v>
      </c>
      <c r="G44" s="7" t="s">
        <v>276</v>
      </c>
    </row>
    <row r="65536" ht="16.5" customHeight="1"/>
  </sheetData>
  <sheetProtection selectLockedCells="1" selectUnlockedCells="1"/>
  <mergeCells count="6">
    <mergeCell ref="B1:G1"/>
    <mergeCell ref="A4:G4"/>
    <mergeCell ref="A7:A9"/>
    <mergeCell ref="B7:B9"/>
    <mergeCell ref="C7:E8"/>
    <mergeCell ref="F7:F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&amp;L&amp;"ＭＳ 明朝,標準"&amp;10人　口</oddHeader>
    <oddFooter>&amp;C&amp;"ＭＳ 明朝,標準"&amp;10&amp;A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48"/>
  <sheetViews>
    <sheetView view="pageBreakPreview" zoomScaleNormal="120" zoomScaleSheetLayoutView="100" workbookViewId="0">
      <pane ySplit="4" topLeftCell="A47" activePane="bottomLeft" state="frozen"/>
      <selection pane="bottomLeft" activeCell="K28" sqref="K28"/>
    </sheetView>
  </sheetViews>
  <sheetFormatPr defaultRowHeight="17.100000000000001" customHeight="1"/>
  <cols>
    <col min="1" max="1" width="8.625" style="1" customWidth="1"/>
    <col min="2" max="2" width="8.125" style="1" customWidth="1"/>
    <col min="3" max="6" width="8" style="1" customWidth="1"/>
    <col min="7" max="8" width="6.875" style="1" customWidth="1"/>
    <col min="9" max="10" width="8" style="1" customWidth="1"/>
    <col min="11" max="12" width="6.875" style="1" customWidth="1"/>
  </cols>
  <sheetData>
    <row r="1" spans="1:13" ht="5.0999999999999996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</row>
    <row r="2" spans="1:13" ht="15" customHeight="1" thickBot="1">
      <c r="A2" s="5" t="s">
        <v>322</v>
      </c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323</v>
      </c>
      <c r="M2" s="6"/>
    </row>
    <row r="3" spans="1:13" ht="21" customHeight="1">
      <c r="A3" s="783" t="s">
        <v>529</v>
      </c>
      <c r="B3" s="784" t="s">
        <v>530</v>
      </c>
      <c r="C3" s="784"/>
      <c r="D3" s="784"/>
      <c r="E3" s="784" t="s">
        <v>23</v>
      </c>
      <c r="F3" s="784"/>
      <c r="G3" s="784"/>
      <c r="H3" s="784"/>
      <c r="I3" s="784" t="s">
        <v>24</v>
      </c>
      <c r="J3" s="784"/>
      <c r="K3" s="784"/>
      <c r="L3" s="789"/>
      <c r="M3" s="37"/>
    </row>
    <row r="4" spans="1:13" ht="21" customHeight="1">
      <c r="A4" s="785"/>
      <c r="B4" s="10" t="s">
        <v>517</v>
      </c>
      <c r="C4" s="10" t="s">
        <v>23</v>
      </c>
      <c r="D4" s="10" t="s">
        <v>24</v>
      </c>
      <c r="E4" s="10" t="s">
        <v>518</v>
      </c>
      <c r="F4" s="10" t="s">
        <v>324</v>
      </c>
      <c r="G4" s="10" t="s">
        <v>519</v>
      </c>
      <c r="H4" s="10" t="s">
        <v>520</v>
      </c>
      <c r="I4" s="10" t="s">
        <v>518</v>
      </c>
      <c r="J4" s="10" t="s">
        <v>324</v>
      </c>
      <c r="K4" s="10" t="s">
        <v>519</v>
      </c>
      <c r="L4" s="219" t="s">
        <v>521</v>
      </c>
      <c r="M4" s="37"/>
    </row>
    <row r="5" spans="1:13" ht="17.100000000000001" customHeight="1">
      <c r="A5" s="250" t="s">
        <v>325</v>
      </c>
      <c r="B5" s="422">
        <f t="shared" ref="B5:L5" si="0">SUM(B6:B13)</f>
        <v>78330</v>
      </c>
      <c r="C5" s="423">
        <f t="shared" si="0"/>
        <v>37825</v>
      </c>
      <c r="D5" s="423">
        <f t="shared" si="0"/>
        <v>40505</v>
      </c>
      <c r="E5" s="423">
        <f t="shared" si="0"/>
        <v>13343</v>
      </c>
      <c r="F5" s="423">
        <f t="shared" si="0"/>
        <v>22372</v>
      </c>
      <c r="G5" s="423">
        <f t="shared" si="0"/>
        <v>628</v>
      </c>
      <c r="H5" s="423">
        <f t="shared" si="0"/>
        <v>1273</v>
      </c>
      <c r="I5" s="423">
        <f t="shared" si="0"/>
        <v>11343</v>
      </c>
      <c r="J5" s="423">
        <f t="shared" si="0"/>
        <v>22739</v>
      </c>
      <c r="K5" s="423">
        <f t="shared" si="0"/>
        <v>3144</v>
      </c>
      <c r="L5" s="424">
        <f t="shared" si="0"/>
        <v>3036</v>
      </c>
      <c r="M5" s="37"/>
    </row>
    <row r="6" spans="1:13" ht="17.100000000000001" customHeight="1">
      <c r="A6" s="250" t="s">
        <v>326</v>
      </c>
      <c r="B6" s="425">
        <f t="shared" ref="B6:B13" si="1">C6+D6</f>
        <v>7116</v>
      </c>
      <c r="C6" s="426">
        <v>3646</v>
      </c>
      <c r="D6" s="426">
        <v>3470</v>
      </c>
      <c r="E6" s="426">
        <v>3619</v>
      </c>
      <c r="F6" s="426">
        <v>26</v>
      </c>
      <c r="G6" s="443" t="s">
        <v>156</v>
      </c>
      <c r="H6" s="420">
        <v>1</v>
      </c>
      <c r="I6" s="426">
        <v>3426</v>
      </c>
      <c r="J6" s="426">
        <v>43</v>
      </c>
      <c r="K6" s="443" t="s">
        <v>156</v>
      </c>
      <c r="L6" s="427">
        <v>1</v>
      </c>
      <c r="M6" s="37"/>
    </row>
    <row r="7" spans="1:13" ht="17.100000000000001" customHeight="1">
      <c r="A7" s="250" t="s">
        <v>327</v>
      </c>
      <c r="B7" s="425">
        <f t="shared" si="1"/>
        <v>6368</v>
      </c>
      <c r="C7" s="426">
        <v>3060</v>
      </c>
      <c r="D7" s="426">
        <v>3308</v>
      </c>
      <c r="E7" s="442">
        <v>2667</v>
      </c>
      <c r="F7" s="426">
        <v>372</v>
      </c>
      <c r="G7" s="426">
        <v>1</v>
      </c>
      <c r="H7" s="426">
        <v>19</v>
      </c>
      <c r="I7" s="426">
        <v>2667</v>
      </c>
      <c r="J7" s="426">
        <v>588</v>
      </c>
      <c r="K7" s="420">
        <v>2</v>
      </c>
      <c r="L7" s="427">
        <v>50</v>
      </c>
      <c r="M7" s="37"/>
    </row>
    <row r="8" spans="1:13" ht="17.100000000000001" customHeight="1">
      <c r="A8" s="250" t="s">
        <v>328</v>
      </c>
      <c r="B8" s="425">
        <f t="shared" si="1"/>
        <v>8747</v>
      </c>
      <c r="C8" s="426">
        <v>4182</v>
      </c>
      <c r="D8" s="426">
        <v>4565</v>
      </c>
      <c r="E8" s="426">
        <v>2609</v>
      </c>
      <c r="F8" s="426">
        <v>1513</v>
      </c>
      <c r="G8" s="443" t="s">
        <v>156</v>
      </c>
      <c r="H8" s="426">
        <v>60</v>
      </c>
      <c r="I8" s="426">
        <v>2288</v>
      </c>
      <c r="J8" s="426">
        <v>2086</v>
      </c>
      <c r="K8" s="426">
        <v>5</v>
      </c>
      <c r="L8" s="427">
        <v>181</v>
      </c>
      <c r="M8" s="37"/>
    </row>
    <row r="9" spans="1:13" ht="17.100000000000001" customHeight="1">
      <c r="A9" s="250" t="s">
        <v>329</v>
      </c>
      <c r="B9" s="425">
        <f t="shared" si="1"/>
        <v>8561</v>
      </c>
      <c r="C9" s="426">
        <v>4124</v>
      </c>
      <c r="D9" s="426">
        <v>4437</v>
      </c>
      <c r="E9" s="426">
        <v>1496</v>
      </c>
      <c r="F9" s="426">
        <v>2533</v>
      </c>
      <c r="G9" s="426">
        <v>1</v>
      </c>
      <c r="H9" s="426">
        <v>91</v>
      </c>
      <c r="I9" s="426">
        <v>1141</v>
      </c>
      <c r="J9" s="426">
        <v>3020</v>
      </c>
      <c r="K9" s="426">
        <v>6</v>
      </c>
      <c r="L9" s="427">
        <v>264</v>
      </c>
      <c r="M9" s="37"/>
    </row>
    <row r="10" spans="1:13" ht="17.100000000000001" customHeight="1">
      <c r="A10" s="250" t="s">
        <v>330</v>
      </c>
      <c r="B10" s="425">
        <f t="shared" si="1"/>
        <v>14838</v>
      </c>
      <c r="C10" s="426">
        <v>7398</v>
      </c>
      <c r="D10" s="426">
        <v>7440</v>
      </c>
      <c r="E10" s="426">
        <v>1589</v>
      </c>
      <c r="F10" s="426">
        <v>5406</v>
      </c>
      <c r="G10" s="426">
        <v>23</v>
      </c>
      <c r="H10" s="426">
        <v>325</v>
      </c>
      <c r="I10" s="426">
        <v>928</v>
      </c>
      <c r="J10" s="426">
        <v>5633</v>
      </c>
      <c r="K10" s="426">
        <v>57</v>
      </c>
      <c r="L10" s="427">
        <v>779</v>
      </c>
      <c r="M10" s="37"/>
    </row>
    <row r="11" spans="1:13" ht="17.100000000000001" customHeight="1">
      <c r="A11" s="250" t="s">
        <v>331</v>
      </c>
      <c r="B11" s="425">
        <f t="shared" si="1"/>
        <v>13518</v>
      </c>
      <c r="C11" s="426">
        <v>6715</v>
      </c>
      <c r="D11" s="426">
        <v>6803</v>
      </c>
      <c r="E11" s="426">
        <v>933</v>
      </c>
      <c r="F11" s="426">
        <v>5268</v>
      </c>
      <c r="G11" s="426">
        <v>54</v>
      </c>
      <c r="H11" s="426">
        <v>400</v>
      </c>
      <c r="I11" s="426">
        <v>495</v>
      </c>
      <c r="J11" s="426">
        <v>5156</v>
      </c>
      <c r="K11" s="426">
        <v>199</v>
      </c>
      <c r="L11" s="427">
        <v>913</v>
      </c>
      <c r="M11" s="37"/>
    </row>
    <row r="12" spans="1:13" ht="17.100000000000001" customHeight="1">
      <c r="A12" s="250" t="s">
        <v>332</v>
      </c>
      <c r="B12" s="425">
        <f t="shared" si="1"/>
        <v>9265</v>
      </c>
      <c r="C12" s="426">
        <v>4535</v>
      </c>
      <c r="D12" s="426">
        <v>4730</v>
      </c>
      <c r="E12" s="426">
        <v>305</v>
      </c>
      <c r="F12" s="426">
        <v>3850</v>
      </c>
      <c r="G12" s="426">
        <v>108</v>
      </c>
      <c r="H12" s="426">
        <v>238</v>
      </c>
      <c r="I12" s="426">
        <v>217</v>
      </c>
      <c r="J12" s="426">
        <v>3585</v>
      </c>
      <c r="K12" s="426">
        <v>453</v>
      </c>
      <c r="L12" s="427">
        <v>438</v>
      </c>
      <c r="M12" s="37"/>
    </row>
    <row r="13" spans="1:13" ht="17.100000000000001" customHeight="1">
      <c r="A13" s="250" t="s">
        <v>333</v>
      </c>
      <c r="B13" s="425">
        <f t="shared" si="1"/>
        <v>9917</v>
      </c>
      <c r="C13" s="426">
        <v>4165</v>
      </c>
      <c r="D13" s="426">
        <v>5752</v>
      </c>
      <c r="E13" s="426">
        <v>125</v>
      </c>
      <c r="F13" s="426">
        <v>3404</v>
      </c>
      <c r="G13" s="426">
        <v>441</v>
      </c>
      <c r="H13" s="426">
        <v>139</v>
      </c>
      <c r="I13" s="426">
        <v>181</v>
      </c>
      <c r="J13" s="426">
        <v>2628</v>
      </c>
      <c r="K13" s="426">
        <v>2422</v>
      </c>
      <c r="L13" s="427">
        <v>410</v>
      </c>
      <c r="M13" s="37"/>
    </row>
    <row r="14" spans="1:13" ht="17.100000000000001" customHeight="1">
      <c r="A14" s="250"/>
      <c r="B14" s="425"/>
      <c r="C14" s="426"/>
      <c r="D14" s="426"/>
      <c r="E14" s="426"/>
      <c r="F14" s="426"/>
      <c r="G14" s="426"/>
      <c r="H14" s="426"/>
      <c r="I14" s="426"/>
      <c r="J14" s="426"/>
      <c r="K14" s="426"/>
      <c r="L14" s="427"/>
      <c r="M14" s="37"/>
    </row>
    <row r="15" spans="1:13" ht="17.100000000000001" customHeight="1">
      <c r="A15" s="250" t="s">
        <v>27</v>
      </c>
      <c r="B15" s="425">
        <f t="shared" ref="B15:L15" si="2">SUM(B16:B23)</f>
        <v>84512</v>
      </c>
      <c r="C15" s="426">
        <f t="shared" si="2"/>
        <v>40915</v>
      </c>
      <c r="D15" s="426">
        <f t="shared" si="2"/>
        <v>43597</v>
      </c>
      <c r="E15" s="426">
        <f t="shared" si="2"/>
        <v>14444</v>
      </c>
      <c r="F15" s="426">
        <f t="shared" si="2"/>
        <v>23347</v>
      </c>
      <c r="G15" s="426">
        <f t="shared" si="2"/>
        <v>694</v>
      </c>
      <c r="H15" s="426">
        <f t="shared" si="2"/>
        <v>1644</v>
      </c>
      <c r="I15" s="426">
        <f t="shared" si="2"/>
        <v>12212</v>
      </c>
      <c r="J15" s="426">
        <f t="shared" si="2"/>
        <v>23640</v>
      </c>
      <c r="K15" s="426">
        <f t="shared" si="2"/>
        <v>3400</v>
      </c>
      <c r="L15" s="427">
        <f t="shared" si="2"/>
        <v>3673</v>
      </c>
      <c r="M15" s="37"/>
    </row>
    <row r="16" spans="1:13" ht="17.100000000000001" customHeight="1">
      <c r="A16" s="250" t="s">
        <v>326</v>
      </c>
      <c r="B16" s="425">
        <f t="shared" ref="B16:B23" si="3">C16+D16</f>
        <v>6800</v>
      </c>
      <c r="C16" s="426">
        <v>3479</v>
      </c>
      <c r="D16" s="426">
        <v>3321</v>
      </c>
      <c r="E16" s="426">
        <v>3458</v>
      </c>
      <c r="F16" s="426">
        <v>21</v>
      </c>
      <c r="G16" s="443" t="s">
        <v>156</v>
      </c>
      <c r="H16" s="443" t="s">
        <v>156</v>
      </c>
      <c r="I16" s="426">
        <v>3291</v>
      </c>
      <c r="J16" s="426">
        <v>26</v>
      </c>
      <c r="K16" s="443" t="s">
        <v>156</v>
      </c>
      <c r="L16" s="427">
        <v>4</v>
      </c>
      <c r="M16" s="37"/>
    </row>
    <row r="17" spans="1:13" ht="17.100000000000001" customHeight="1">
      <c r="A17" s="250" t="s">
        <v>327</v>
      </c>
      <c r="B17" s="425">
        <f t="shared" si="3"/>
        <v>6455</v>
      </c>
      <c r="C17" s="426">
        <v>3196</v>
      </c>
      <c r="D17" s="426">
        <v>3259</v>
      </c>
      <c r="E17" s="426">
        <v>2871</v>
      </c>
      <c r="F17" s="426">
        <v>309</v>
      </c>
      <c r="G17" s="426">
        <v>2</v>
      </c>
      <c r="H17" s="426">
        <v>14</v>
      </c>
      <c r="I17" s="426">
        <v>2740</v>
      </c>
      <c r="J17" s="426">
        <v>476</v>
      </c>
      <c r="K17" s="426">
        <v>1</v>
      </c>
      <c r="L17" s="427">
        <v>39</v>
      </c>
      <c r="M17" s="37"/>
    </row>
    <row r="18" spans="1:13" ht="17.100000000000001" customHeight="1">
      <c r="A18" s="250" t="s">
        <v>328</v>
      </c>
      <c r="B18" s="425">
        <f t="shared" si="3"/>
        <v>7699</v>
      </c>
      <c r="C18" s="426">
        <v>3739</v>
      </c>
      <c r="D18" s="426">
        <v>3960</v>
      </c>
      <c r="E18" s="426">
        <v>2403</v>
      </c>
      <c r="F18" s="426">
        <v>1281</v>
      </c>
      <c r="G18" s="426">
        <v>1</v>
      </c>
      <c r="H18" s="426">
        <v>53</v>
      </c>
      <c r="I18" s="426">
        <v>2159</v>
      </c>
      <c r="J18" s="426">
        <v>1628</v>
      </c>
      <c r="K18" s="426">
        <v>3</v>
      </c>
      <c r="L18" s="427">
        <v>154</v>
      </c>
      <c r="M18" s="37"/>
    </row>
    <row r="19" spans="1:13" ht="17.100000000000001" customHeight="1">
      <c r="A19" s="250" t="s">
        <v>329</v>
      </c>
      <c r="B19" s="425">
        <f t="shared" si="3"/>
        <v>9498</v>
      </c>
      <c r="C19" s="426">
        <v>4660</v>
      </c>
      <c r="D19" s="426">
        <v>4838</v>
      </c>
      <c r="E19" s="426">
        <v>1955</v>
      </c>
      <c r="F19" s="426">
        <v>2581</v>
      </c>
      <c r="G19" s="426">
        <v>2</v>
      </c>
      <c r="H19" s="426">
        <v>120</v>
      </c>
      <c r="I19" s="426">
        <v>1468</v>
      </c>
      <c r="J19" s="426">
        <v>3056</v>
      </c>
      <c r="K19" s="426">
        <v>8</v>
      </c>
      <c r="L19" s="427">
        <v>288</v>
      </c>
      <c r="M19" s="37"/>
    </row>
    <row r="20" spans="1:13" ht="17.100000000000001" customHeight="1">
      <c r="A20" s="250" t="s">
        <v>330</v>
      </c>
      <c r="B20" s="425">
        <f t="shared" si="3"/>
        <v>15925</v>
      </c>
      <c r="C20" s="426">
        <f>4053+3688</f>
        <v>7741</v>
      </c>
      <c r="D20" s="426">
        <f>4345+3839</f>
        <v>8184</v>
      </c>
      <c r="E20" s="426">
        <f>1058+714</f>
        <v>1772</v>
      </c>
      <c r="F20" s="426">
        <f>2683+2677</f>
        <v>5360</v>
      </c>
      <c r="G20" s="426">
        <v>10</v>
      </c>
      <c r="H20" s="426">
        <f>148+180</f>
        <v>328</v>
      </c>
      <c r="I20" s="426">
        <f>815+527</f>
        <v>1342</v>
      </c>
      <c r="J20" s="426">
        <f>3040+2736</f>
        <v>5776</v>
      </c>
      <c r="K20" s="426">
        <v>43</v>
      </c>
      <c r="L20" s="427">
        <v>841</v>
      </c>
      <c r="M20" s="37"/>
    </row>
    <row r="21" spans="1:13" ht="17.100000000000001" customHeight="1">
      <c r="A21" s="250" t="s">
        <v>331</v>
      </c>
      <c r="B21" s="425">
        <f t="shared" si="3"/>
        <v>14281</v>
      </c>
      <c r="C21" s="426">
        <f>3527+3596</f>
        <v>7123</v>
      </c>
      <c r="D21" s="426">
        <f>3430+3728</f>
        <v>7158</v>
      </c>
      <c r="E21" s="426">
        <f>692+559</f>
        <v>1251</v>
      </c>
      <c r="F21" s="426">
        <f>2451+2637</f>
        <v>5088</v>
      </c>
      <c r="G21" s="426">
        <f>14+34</f>
        <v>48</v>
      </c>
      <c r="H21" s="426">
        <f>244+238</f>
        <v>482</v>
      </c>
      <c r="I21" s="426">
        <f>334+304</f>
        <v>638</v>
      </c>
      <c r="J21" s="426">
        <f>2432+2679</f>
        <v>5111</v>
      </c>
      <c r="K21" s="426">
        <f>86+129</f>
        <v>215</v>
      </c>
      <c r="L21" s="427">
        <v>1066</v>
      </c>
      <c r="M21" s="37"/>
    </row>
    <row r="22" spans="1:13" ht="17.100000000000001" customHeight="1">
      <c r="A22" s="250" t="s">
        <v>332</v>
      </c>
      <c r="B22" s="425">
        <f t="shared" si="3"/>
        <v>10685</v>
      </c>
      <c r="C22" s="426">
        <f>3086+2202</f>
        <v>5288</v>
      </c>
      <c r="D22" s="426">
        <f>3051+2346</f>
        <v>5397</v>
      </c>
      <c r="E22" s="426">
        <f>355+165</f>
        <v>520</v>
      </c>
      <c r="F22" s="426">
        <f>2358+1782</f>
        <v>4140</v>
      </c>
      <c r="G22" s="426">
        <f>44+49</f>
        <v>93</v>
      </c>
      <c r="H22" s="426">
        <f>245+154</f>
        <v>399</v>
      </c>
      <c r="I22" s="426">
        <f>217+112</f>
        <v>329</v>
      </c>
      <c r="J22" s="426">
        <f>2184+1694</f>
        <v>3878</v>
      </c>
      <c r="K22" s="426">
        <f>165+245</f>
        <v>410</v>
      </c>
      <c r="L22" s="427">
        <v>672</v>
      </c>
      <c r="M22" s="37"/>
    </row>
    <row r="23" spans="1:13" ht="17.100000000000001" customHeight="1">
      <c r="A23" s="250" t="s">
        <v>333</v>
      </c>
      <c r="B23" s="425">
        <f t="shared" si="3"/>
        <v>13169</v>
      </c>
      <c r="C23" s="426">
        <v>5689</v>
      </c>
      <c r="D23" s="426">
        <v>7480</v>
      </c>
      <c r="E23" s="426">
        <v>214</v>
      </c>
      <c r="F23" s="426">
        <v>4567</v>
      </c>
      <c r="G23" s="426">
        <v>538</v>
      </c>
      <c r="H23" s="426">
        <v>248</v>
      </c>
      <c r="I23" s="426">
        <v>245</v>
      </c>
      <c r="J23" s="426">
        <v>3689</v>
      </c>
      <c r="K23" s="426">
        <v>2720</v>
      </c>
      <c r="L23" s="427">
        <v>609</v>
      </c>
      <c r="M23" s="37"/>
    </row>
    <row r="24" spans="1:13" ht="17.100000000000001" customHeight="1">
      <c r="A24" s="250"/>
      <c r="B24" s="425"/>
      <c r="C24" s="426"/>
      <c r="D24" s="426"/>
      <c r="E24" s="426"/>
      <c r="F24" s="426"/>
      <c r="G24" s="426"/>
      <c r="H24" s="426"/>
      <c r="I24" s="426"/>
      <c r="J24" s="426"/>
      <c r="K24" s="426"/>
      <c r="L24" s="427"/>
      <c r="M24" s="37"/>
    </row>
    <row r="25" spans="1:13" ht="17.100000000000001" customHeight="1">
      <c r="A25" s="249" t="s">
        <v>28</v>
      </c>
      <c r="B25" s="428">
        <f t="shared" ref="B25:L25" si="4">SUM(B26:B33)</f>
        <v>88533</v>
      </c>
      <c r="C25" s="429">
        <f t="shared" si="4"/>
        <v>42642</v>
      </c>
      <c r="D25" s="429">
        <f t="shared" si="4"/>
        <v>45891</v>
      </c>
      <c r="E25" s="430">
        <f t="shared" si="4"/>
        <v>15011</v>
      </c>
      <c r="F25" s="430">
        <f t="shared" si="4"/>
        <v>24108</v>
      </c>
      <c r="G25" s="430">
        <f t="shared" si="4"/>
        <v>790</v>
      </c>
      <c r="H25" s="430">
        <f t="shared" si="4"/>
        <v>1947</v>
      </c>
      <c r="I25" s="430">
        <f t="shared" si="4"/>
        <v>12647</v>
      </c>
      <c r="J25" s="430">
        <f t="shared" si="4"/>
        <v>24456</v>
      </c>
      <c r="K25" s="430">
        <f t="shared" si="4"/>
        <v>3675</v>
      </c>
      <c r="L25" s="431">
        <f t="shared" si="4"/>
        <v>4003</v>
      </c>
      <c r="M25" s="37"/>
    </row>
    <row r="26" spans="1:13" ht="17.100000000000001" customHeight="1">
      <c r="A26" s="250" t="s">
        <v>326</v>
      </c>
      <c r="B26" s="425">
        <f t="shared" ref="B26:B33" si="5">C26+D26</f>
        <v>6685</v>
      </c>
      <c r="C26" s="426">
        <v>3405</v>
      </c>
      <c r="D26" s="426">
        <v>3280</v>
      </c>
      <c r="E26" s="432">
        <v>3384</v>
      </c>
      <c r="F26" s="432">
        <v>16</v>
      </c>
      <c r="G26" s="403">
        <v>0</v>
      </c>
      <c r="H26" s="403">
        <v>0</v>
      </c>
      <c r="I26" s="432">
        <v>3248</v>
      </c>
      <c r="J26" s="432">
        <v>26</v>
      </c>
      <c r="K26" s="403">
        <v>0</v>
      </c>
      <c r="L26" s="433">
        <v>3</v>
      </c>
      <c r="M26" s="37"/>
    </row>
    <row r="27" spans="1:13" ht="17.100000000000001" customHeight="1">
      <c r="A27" s="250" t="s">
        <v>327</v>
      </c>
      <c r="B27" s="425">
        <f t="shared" si="5"/>
        <v>5890</v>
      </c>
      <c r="C27" s="426">
        <v>2967</v>
      </c>
      <c r="D27" s="426">
        <v>2923</v>
      </c>
      <c r="E27" s="432">
        <v>2660</v>
      </c>
      <c r="F27" s="432">
        <v>260</v>
      </c>
      <c r="G27" s="432">
        <v>1</v>
      </c>
      <c r="H27" s="432">
        <v>12</v>
      </c>
      <c r="I27" s="432">
        <v>2490</v>
      </c>
      <c r="J27" s="432">
        <v>356</v>
      </c>
      <c r="K27" s="403">
        <v>0</v>
      </c>
      <c r="L27" s="434">
        <v>44</v>
      </c>
      <c r="M27" s="37"/>
    </row>
    <row r="28" spans="1:13" ht="17.100000000000001" customHeight="1">
      <c r="A28" s="250" t="s">
        <v>328</v>
      </c>
      <c r="B28" s="425">
        <f t="shared" si="5"/>
        <v>7274</v>
      </c>
      <c r="C28" s="426">
        <v>3500</v>
      </c>
      <c r="D28" s="426">
        <v>3774</v>
      </c>
      <c r="E28" s="432">
        <v>2266</v>
      </c>
      <c r="F28" s="432">
        <v>1109</v>
      </c>
      <c r="G28" s="432">
        <v>1</v>
      </c>
      <c r="H28" s="432">
        <v>57</v>
      </c>
      <c r="I28" s="432">
        <v>2129</v>
      </c>
      <c r="J28" s="432">
        <v>1452</v>
      </c>
      <c r="K28" s="403">
        <v>0</v>
      </c>
      <c r="L28" s="434">
        <v>118</v>
      </c>
      <c r="M28" s="37"/>
    </row>
    <row r="29" spans="1:13" ht="17.100000000000001" customHeight="1">
      <c r="A29" s="250" t="s">
        <v>329</v>
      </c>
      <c r="B29" s="425">
        <f t="shared" si="5"/>
        <v>8032</v>
      </c>
      <c r="C29" s="426">
        <v>3893</v>
      </c>
      <c r="D29" s="426">
        <v>4139</v>
      </c>
      <c r="E29" s="432">
        <v>1603</v>
      </c>
      <c r="F29" s="432">
        <v>2107</v>
      </c>
      <c r="G29" s="432">
        <v>1</v>
      </c>
      <c r="H29" s="432">
        <v>117</v>
      </c>
      <c r="I29" s="432">
        <v>1261</v>
      </c>
      <c r="J29" s="432">
        <v>2518</v>
      </c>
      <c r="K29" s="432">
        <v>2</v>
      </c>
      <c r="L29" s="434">
        <v>256</v>
      </c>
      <c r="M29" s="37"/>
    </row>
    <row r="30" spans="1:13" ht="17.100000000000001" customHeight="1">
      <c r="A30" s="250" t="s">
        <v>330</v>
      </c>
      <c r="B30" s="425">
        <f t="shared" si="5"/>
        <v>17533</v>
      </c>
      <c r="C30" s="426">
        <v>8578</v>
      </c>
      <c r="D30" s="426">
        <v>8955</v>
      </c>
      <c r="E30" s="432">
        <f>1433+1000</f>
        <v>2433</v>
      </c>
      <c r="F30" s="432">
        <f>2957+2633</f>
        <v>5590</v>
      </c>
      <c r="G30" s="432">
        <f>1+9</f>
        <v>10</v>
      </c>
      <c r="H30" s="432">
        <f>183+212</f>
        <v>395</v>
      </c>
      <c r="I30" s="432">
        <f>1033+760</f>
        <v>1793</v>
      </c>
      <c r="J30" s="432">
        <f>3194+2890</f>
        <v>6084</v>
      </c>
      <c r="K30" s="432">
        <f>16+31</f>
        <v>47</v>
      </c>
      <c r="L30" s="434">
        <f>406+429</f>
        <v>835</v>
      </c>
      <c r="M30" s="37"/>
    </row>
    <row r="31" spans="1:13" ht="17.100000000000001" customHeight="1">
      <c r="A31" s="250" t="s">
        <v>331</v>
      </c>
      <c r="B31" s="425">
        <f t="shared" si="5"/>
        <v>14135</v>
      </c>
      <c r="C31" s="426">
        <v>6945</v>
      </c>
      <c r="D31" s="426">
        <v>7190</v>
      </c>
      <c r="E31" s="432">
        <f>683+694</f>
        <v>1377</v>
      </c>
      <c r="F31" s="432">
        <f>2559+2352</f>
        <v>4911</v>
      </c>
      <c r="G31" s="432">
        <f>13+21</f>
        <v>34</v>
      </c>
      <c r="H31" s="432">
        <f>214+269</f>
        <v>483</v>
      </c>
      <c r="I31" s="432">
        <f>495+346</f>
        <v>841</v>
      </c>
      <c r="J31" s="432">
        <f>2603+2329</f>
        <v>4932</v>
      </c>
      <c r="K31" s="432">
        <f>60+114</f>
        <v>174</v>
      </c>
      <c r="L31" s="434">
        <f>509+559</f>
        <v>1068</v>
      </c>
      <c r="M31" s="37"/>
    </row>
    <row r="32" spans="1:13" ht="17.100000000000001" customHeight="1">
      <c r="A32" s="250" t="s">
        <v>332</v>
      </c>
      <c r="B32" s="425">
        <f t="shared" si="5"/>
        <v>13138</v>
      </c>
      <c r="C32" s="426">
        <v>6444</v>
      </c>
      <c r="D32" s="426">
        <v>6694</v>
      </c>
      <c r="E32" s="432">
        <f>564+366</f>
        <v>930</v>
      </c>
      <c r="F32" s="432">
        <f>2455+2257</f>
        <v>4712</v>
      </c>
      <c r="G32" s="432">
        <f>49+61</f>
        <v>110</v>
      </c>
      <c r="H32" s="432">
        <f>276+255</f>
        <v>531</v>
      </c>
      <c r="I32" s="432">
        <f>323+199</f>
        <v>522</v>
      </c>
      <c r="J32" s="432">
        <f>2506+2089</f>
        <v>4595</v>
      </c>
      <c r="K32" s="432">
        <f>192+240</f>
        <v>432</v>
      </c>
      <c r="L32" s="434">
        <f>573+406</f>
        <v>979</v>
      </c>
      <c r="M32" s="37"/>
    </row>
    <row r="33" spans="1:13" ht="17.100000000000001" customHeight="1" thickBot="1">
      <c r="A33" s="251" t="s">
        <v>333</v>
      </c>
      <c r="B33" s="435">
        <f t="shared" si="5"/>
        <v>15846</v>
      </c>
      <c r="C33" s="436">
        <v>6910</v>
      </c>
      <c r="D33" s="436">
        <v>8936</v>
      </c>
      <c r="E33" s="437">
        <v>358</v>
      </c>
      <c r="F33" s="437">
        <v>5403</v>
      </c>
      <c r="G33" s="437">
        <v>633</v>
      </c>
      <c r="H33" s="437">
        <v>352</v>
      </c>
      <c r="I33" s="437">
        <v>363</v>
      </c>
      <c r="J33" s="437">
        <v>4493</v>
      </c>
      <c r="K33" s="437">
        <v>3020</v>
      </c>
      <c r="L33" s="438">
        <v>700</v>
      </c>
      <c r="M33" s="37"/>
    </row>
    <row r="34" spans="1:13" ht="15" customHeight="1">
      <c r="A34" s="5" t="s">
        <v>334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7" t="s">
        <v>276</v>
      </c>
      <c r="M34" s="6"/>
    </row>
    <row r="35" spans="1:13" ht="15" customHeight="1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15" customHeight="1" thickBot="1">
      <c r="A36" s="5" t="s">
        <v>335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7" t="s">
        <v>336</v>
      </c>
      <c r="M36" s="6"/>
    </row>
    <row r="37" spans="1:13" ht="21" customHeight="1">
      <c r="A37" s="821" t="s">
        <v>337</v>
      </c>
      <c r="B37" s="822"/>
      <c r="C37" s="823" t="s">
        <v>516</v>
      </c>
      <c r="D37" s="824"/>
      <c r="E37" s="193" t="s">
        <v>338</v>
      </c>
      <c r="F37" s="784" t="s">
        <v>539</v>
      </c>
      <c r="G37" s="784"/>
      <c r="H37" s="784"/>
      <c r="I37" s="784"/>
      <c r="J37" s="784"/>
      <c r="K37" s="784"/>
      <c r="L37" s="789"/>
    </row>
    <row r="38" spans="1:13" ht="21" customHeight="1">
      <c r="A38" s="827" t="s">
        <v>339</v>
      </c>
      <c r="B38" s="728"/>
      <c r="C38" s="825"/>
      <c r="D38" s="826"/>
      <c r="E38" s="11" t="s">
        <v>340</v>
      </c>
      <c r="F38" s="8" t="s">
        <v>171</v>
      </c>
      <c r="G38" s="8" t="s">
        <v>341</v>
      </c>
      <c r="H38" s="8" t="s">
        <v>342</v>
      </c>
      <c r="I38" s="8" t="s">
        <v>343</v>
      </c>
      <c r="J38" s="8" t="s">
        <v>344</v>
      </c>
      <c r="K38" s="8" t="s">
        <v>345</v>
      </c>
      <c r="L38" s="252" t="s">
        <v>346</v>
      </c>
    </row>
    <row r="39" spans="1:13" s="101" customFormat="1" ht="17.100000000000001" customHeight="1">
      <c r="A39" s="816" t="s">
        <v>476</v>
      </c>
      <c r="B39" s="817"/>
      <c r="C39" s="818">
        <f>SUM(C41:D47)</f>
        <v>6023</v>
      </c>
      <c r="D39" s="818"/>
      <c r="E39" s="417">
        <f t="shared" ref="E39:L39" si="6">SUM(E41:E47)</f>
        <v>2971</v>
      </c>
      <c r="F39" s="417">
        <f>SUM(F41:F47)</f>
        <v>3052</v>
      </c>
      <c r="G39" s="417">
        <f t="shared" si="6"/>
        <v>830</v>
      </c>
      <c r="H39" s="417">
        <f t="shared" si="6"/>
        <v>748</v>
      </c>
      <c r="I39" s="417">
        <f t="shared" si="6"/>
        <v>756</v>
      </c>
      <c r="J39" s="417">
        <f t="shared" si="6"/>
        <v>482</v>
      </c>
      <c r="K39" s="417">
        <f t="shared" si="6"/>
        <v>178</v>
      </c>
      <c r="L39" s="418">
        <f t="shared" si="6"/>
        <v>58</v>
      </c>
    </row>
    <row r="40" spans="1:13" ht="17.100000000000001" customHeight="1">
      <c r="A40" s="813"/>
      <c r="B40" s="814"/>
      <c r="C40" s="93"/>
      <c r="D40" s="500"/>
      <c r="E40" s="94"/>
      <c r="F40" s="94"/>
      <c r="G40" s="94"/>
      <c r="H40" s="94"/>
      <c r="I40" s="94"/>
      <c r="J40" s="94"/>
      <c r="K40" s="94"/>
      <c r="L40" s="419"/>
    </row>
    <row r="41" spans="1:13" ht="17.100000000000001" customHeight="1">
      <c r="A41" s="819" t="s">
        <v>347</v>
      </c>
      <c r="B41" s="820"/>
      <c r="C41" s="815">
        <v>2644</v>
      </c>
      <c r="D41" s="815"/>
      <c r="E41" s="94">
        <v>2544</v>
      </c>
      <c r="F41" s="94">
        <f t="shared" ref="F41:F47" si="7">SUM(G41:L41)</f>
        <v>100</v>
      </c>
      <c r="G41" s="94">
        <v>87</v>
      </c>
      <c r="H41" s="94">
        <v>10</v>
      </c>
      <c r="I41" s="94">
        <v>3</v>
      </c>
      <c r="J41" s="443">
        <v>0</v>
      </c>
      <c r="K41" s="443">
        <v>0</v>
      </c>
      <c r="L41" s="501">
        <v>0</v>
      </c>
    </row>
    <row r="42" spans="1:13" ht="17.100000000000001" customHeight="1">
      <c r="A42" s="813" t="s">
        <v>341</v>
      </c>
      <c r="B42" s="814"/>
      <c r="C42" s="815">
        <f t="shared" ref="C42:C47" si="8">SUM(E42:F42)</f>
        <v>765</v>
      </c>
      <c r="D42" s="815"/>
      <c r="E42" s="94">
        <v>327</v>
      </c>
      <c r="F42" s="94">
        <f t="shared" si="7"/>
        <v>438</v>
      </c>
      <c r="G42" s="94">
        <v>380</v>
      </c>
      <c r="H42" s="94">
        <v>48</v>
      </c>
      <c r="I42" s="94">
        <v>10</v>
      </c>
      <c r="J42" s="443">
        <v>0</v>
      </c>
      <c r="K42" s="443">
        <v>0</v>
      </c>
      <c r="L42" s="501">
        <v>0</v>
      </c>
    </row>
    <row r="43" spans="1:13" ht="17.100000000000001" customHeight="1">
      <c r="A43" s="813" t="s">
        <v>342</v>
      </c>
      <c r="B43" s="814"/>
      <c r="C43" s="815">
        <f t="shared" si="8"/>
        <v>734</v>
      </c>
      <c r="D43" s="815"/>
      <c r="E43" s="94">
        <v>69</v>
      </c>
      <c r="F43" s="94">
        <f t="shared" si="7"/>
        <v>665</v>
      </c>
      <c r="G43" s="94">
        <v>272</v>
      </c>
      <c r="H43" s="94">
        <v>313</v>
      </c>
      <c r="I43" s="94">
        <v>65</v>
      </c>
      <c r="J43" s="94">
        <v>13</v>
      </c>
      <c r="K43" s="94">
        <v>1</v>
      </c>
      <c r="L43" s="419">
        <v>1</v>
      </c>
    </row>
    <row r="44" spans="1:13" ht="17.100000000000001" customHeight="1">
      <c r="A44" s="813" t="s">
        <v>343</v>
      </c>
      <c r="B44" s="814"/>
      <c r="C44" s="815">
        <f t="shared" si="8"/>
        <v>864</v>
      </c>
      <c r="D44" s="815"/>
      <c r="E44" s="94">
        <v>26</v>
      </c>
      <c r="F44" s="94">
        <f t="shared" si="7"/>
        <v>838</v>
      </c>
      <c r="G44" s="94">
        <v>69</v>
      </c>
      <c r="H44" s="94">
        <v>306</v>
      </c>
      <c r="I44" s="94">
        <v>391</v>
      </c>
      <c r="J44" s="94">
        <v>64</v>
      </c>
      <c r="K44" s="94">
        <v>7</v>
      </c>
      <c r="L44" s="419">
        <v>1</v>
      </c>
    </row>
    <row r="45" spans="1:13" ht="17.100000000000001" customHeight="1">
      <c r="A45" s="813" t="s">
        <v>344</v>
      </c>
      <c r="B45" s="814"/>
      <c r="C45" s="815">
        <f t="shared" si="8"/>
        <v>622</v>
      </c>
      <c r="D45" s="815"/>
      <c r="E45" s="94">
        <v>5</v>
      </c>
      <c r="F45" s="94">
        <f t="shared" si="7"/>
        <v>617</v>
      </c>
      <c r="G45" s="94">
        <v>21</v>
      </c>
      <c r="H45" s="94">
        <v>64</v>
      </c>
      <c r="I45" s="94">
        <v>252</v>
      </c>
      <c r="J45" s="94">
        <v>256</v>
      </c>
      <c r="K45" s="94">
        <v>22</v>
      </c>
      <c r="L45" s="419">
        <v>2</v>
      </c>
    </row>
    <row r="46" spans="1:13" ht="17.100000000000001" customHeight="1">
      <c r="A46" s="813" t="s">
        <v>345</v>
      </c>
      <c r="B46" s="814"/>
      <c r="C46" s="815">
        <f t="shared" si="8"/>
        <v>278</v>
      </c>
      <c r="D46" s="815"/>
      <c r="E46" s="502" t="s">
        <v>527</v>
      </c>
      <c r="F46" s="94">
        <f t="shared" si="7"/>
        <v>278</v>
      </c>
      <c r="G46" s="94">
        <v>1</v>
      </c>
      <c r="H46" s="94">
        <v>6</v>
      </c>
      <c r="I46" s="94">
        <v>30</v>
      </c>
      <c r="J46" s="94">
        <v>136</v>
      </c>
      <c r="K46" s="94">
        <v>99</v>
      </c>
      <c r="L46" s="419">
        <v>6</v>
      </c>
    </row>
    <row r="47" spans="1:13" s="102" customFormat="1" ht="17.100000000000001" customHeight="1" thickBot="1">
      <c r="A47" s="810" t="s">
        <v>346</v>
      </c>
      <c r="B47" s="811"/>
      <c r="C47" s="812">
        <f t="shared" si="8"/>
        <v>116</v>
      </c>
      <c r="D47" s="812"/>
      <c r="E47" s="503" t="s">
        <v>528</v>
      </c>
      <c r="F47" s="421">
        <f t="shared" si="7"/>
        <v>116</v>
      </c>
      <c r="G47" s="503" t="s">
        <v>527</v>
      </c>
      <c r="H47" s="421">
        <v>1</v>
      </c>
      <c r="I47" s="421">
        <v>5</v>
      </c>
      <c r="J47" s="421">
        <v>13</v>
      </c>
      <c r="K47" s="421">
        <v>49</v>
      </c>
      <c r="L47" s="260">
        <v>48</v>
      </c>
    </row>
    <row r="48" spans="1:13" ht="15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7" t="s">
        <v>276</v>
      </c>
      <c r="M48" s="6"/>
    </row>
  </sheetData>
  <sheetProtection selectLockedCells="1" selectUnlockedCells="1"/>
  <mergeCells count="25">
    <mergeCell ref="E3:H3"/>
    <mergeCell ref="I3:L3"/>
    <mergeCell ref="A37:B37"/>
    <mergeCell ref="C37:D38"/>
    <mergeCell ref="F37:L37"/>
    <mergeCell ref="A38:B38"/>
    <mergeCell ref="A42:B42"/>
    <mergeCell ref="C42:D42"/>
    <mergeCell ref="A3:A4"/>
    <mergeCell ref="B3:D3"/>
    <mergeCell ref="A39:B39"/>
    <mergeCell ref="C39:D39"/>
    <mergeCell ref="A40:B40"/>
    <mergeCell ref="A41:B41"/>
    <mergeCell ref="C41:D41"/>
    <mergeCell ref="A47:B47"/>
    <mergeCell ref="C47:D47"/>
    <mergeCell ref="A43:B43"/>
    <mergeCell ref="C43:D43"/>
    <mergeCell ref="A44:B44"/>
    <mergeCell ref="C44:D44"/>
    <mergeCell ref="A45:B45"/>
    <mergeCell ref="C45:D45"/>
    <mergeCell ref="A46:B46"/>
    <mergeCell ref="C46:D46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&amp;R&amp;"ＭＳ 明朝,標準"&amp;10人　口</oddHeader>
    <oddFooter>&amp;C&amp;"ＭＳ 明朝,標準"&amp;10&amp;A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X39"/>
  <sheetViews>
    <sheetView view="pageBreakPreview" topLeftCell="A4" zoomScaleNormal="90" zoomScaleSheetLayoutView="100" workbookViewId="0">
      <selection activeCell="S46" sqref="S46"/>
    </sheetView>
  </sheetViews>
  <sheetFormatPr defaultRowHeight="16.5" customHeight="1"/>
  <cols>
    <col min="1" max="1" width="3.125" style="6" customWidth="1"/>
    <col min="2" max="2" width="8.375" style="6" customWidth="1"/>
    <col min="3" max="3" width="7.625" style="6" customWidth="1"/>
    <col min="4" max="4" width="1.25" style="6" customWidth="1"/>
    <col min="5" max="5" width="8.375" style="6" customWidth="1"/>
    <col min="6" max="6" width="10" style="6" customWidth="1"/>
    <col min="7" max="12" width="8.375" style="6" customWidth="1"/>
    <col min="13" max="13" width="0.875" style="6" customWidth="1"/>
    <col min="14" max="24" width="8" style="6" customWidth="1"/>
    <col min="25" max="16384" width="9" style="6"/>
  </cols>
  <sheetData>
    <row r="1" spans="1:24" ht="5.0999999999999996" customHeight="1">
      <c r="A1" s="57"/>
      <c r="B1" s="5"/>
      <c r="C1" s="5"/>
      <c r="D1" s="5"/>
      <c r="N1" s="799"/>
      <c r="O1" s="799"/>
      <c r="P1" s="799"/>
      <c r="Q1" s="799"/>
      <c r="R1" s="799"/>
      <c r="S1" s="799"/>
      <c r="T1" s="799"/>
      <c r="U1" s="799"/>
      <c r="V1" s="799"/>
      <c r="W1" s="799"/>
      <c r="X1" s="799"/>
    </row>
    <row r="2" spans="1:24" ht="15" customHeight="1">
      <c r="A2" s="57" t="s">
        <v>348</v>
      </c>
      <c r="B2" s="5"/>
      <c r="C2" s="5"/>
      <c r="D2" s="5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5.0999999999999996" customHeight="1">
      <c r="A3" s="57"/>
      <c r="B3" s="5"/>
      <c r="C3" s="5"/>
      <c r="D3" s="5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s="102" customFormat="1" ht="60" customHeight="1">
      <c r="A4" s="860" t="s">
        <v>585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104"/>
      <c r="N4" s="797" t="s">
        <v>586</v>
      </c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4" ht="12" customHeight="1">
      <c r="A5" s="5"/>
      <c r="C5" s="5"/>
      <c r="D5" s="5"/>
      <c r="N5" s="5" t="s">
        <v>33</v>
      </c>
    </row>
    <row r="6" spans="1:24" ht="15" customHeight="1" thickBot="1">
      <c r="A6" s="16" t="s">
        <v>349</v>
      </c>
      <c r="L6" s="7" t="s">
        <v>31</v>
      </c>
      <c r="N6" s="5" t="s">
        <v>350</v>
      </c>
      <c r="X6" s="7"/>
    </row>
    <row r="7" spans="1:24" ht="20.100000000000001" customHeight="1">
      <c r="A7" s="783" t="s">
        <v>351</v>
      </c>
      <c r="B7" s="784"/>
      <c r="C7" s="856" t="s">
        <v>540</v>
      </c>
      <c r="D7" s="856"/>
      <c r="E7" s="856"/>
      <c r="F7" s="856"/>
      <c r="G7" s="856" t="s">
        <v>541</v>
      </c>
      <c r="H7" s="856"/>
      <c r="I7" s="856"/>
      <c r="J7" s="856" t="s">
        <v>542</v>
      </c>
      <c r="K7" s="856"/>
      <c r="L7" s="857"/>
      <c r="M7" s="7"/>
      <c r="N7" s="783" t="s">
        <v>352</v>
      </c>
      <c r="O7" s="784"/>
      <c r="P7" s="784"/>
      <c r="Q7" s="784" t="s">
        <v>353</v>
      </c>
      <c r="R7" s="784"/>
      <c r="S7" s="784" t="s">
        <v>354</v>
      </c>
      <c r="T7" s="784"/>
      <c r="U7" s="784" t="s">
        <v>355</v>
      </c>
      <c r="V7" s="784"/>
      <c r="W7" s="784" t="s">
        <v>356</v>
      </c>
      <c r="X7" s="789"/>
    </row>
    <row r="8" spans="1:24" ht="20.100000000000001" customHeight="1">
      <c r="A8" s="785"/>
      <c r="B8" s="781"/>
      <c r="C8" s="834" t="s">
        <v>357</v>
      </c>
      <c r="D8" s="834"/>
      <c r="E8" s="834"/>
      <c r="F8" s="834"/>
      <c r="G8" s="834" t="s">
        <v>32</v>
      </c>
      <c r="H8" s="834"/>
      <c r="I8" s="834"/>
      <c r="J8" s="834" t="s">
        <v>358</v>
      </c>
      <c r="K8" s="834"/>
      <c r="L8" s="858"/>
      <c r="M8" s="105"/>
      <c r="N8" s="863" t="s">
        <v>546</v>
      </c>
      <c r="O8" s="864"/>
      <c r="P8" s="864"/>
      <c r="Q8" s="846">
        <v>33.799999999999997</v>
      </c>
      <c r="R8" s="846"/>
      <c r="S8" s="845">
        <v>10.8</v>
      </c>
      <c r="T8" s="845"/>
      <c r="U8" s="845">
        <v>44.6</v>
      </c>
      <c r="V8" s="845"/>
      <c r="W8" s="848">
        <v>32</v>
      </c>
      <c r="X8" s="849"/>
    </row>
    <row r="9" spans="1:24" ht="20.100000000000001" customHeight="1">
      <c r="A9" s="785"/>
      <c r="B9" s="781"/>
      <c r="C9" s="781" t="s">
        <v>516</v>
      </c>
      <c r="D9" s="781"/>
      <c r="E9" s="781"/>
      <c r="F9" s="4" t="s">
        <v>359</v>
      </c>
      <c r="G9" s="781" t="s">
        <v>516</v>
      </c>
      <c r="H9" s="781"/>
      <c r="I9" s="4" t="s">
        <v>359</v>
      </c>
      <c r="J9" s="781" t="s">
        <v>516</v>
      </c>
      <c r="K9" s="781"/>
      <c r="L9" s="253" t="s">
        <v>359</v>
      </c>
      <c r="M9" s="52"/>
      <c r="N9" s="819" t="s">
        <v>547</v>
      </c>
      <c r="O9" s="767"/>
      <c r="P9" s="859"/>
      <c r="Q9" s="846">
        <v>32</v>
      </c>
      <c r="R9" s="846"/>
      <c r="S9" s="845">
        <v>14.5</v>
      </c>
      <c r="T9" s="845"/>
      <c r="U9" s="845">
        <v>46.5</v>
      </c>
      <c r="V9" s="845"/>
      <c r="W9" s="848">
        <v>45.3</v>
      </c>
      <c r="X9" s="849"/>
    </row>
    <row r="10" spans="1:24" ht="20.100000000000001" customHeight="1">
      <c r="A10" s="861" t="s">
        <v>360</v>
      </c>
      <c r="B10" s="862"/>
      <c r="C10" s="838">
        <v>22420</v>
      </c>
      <c r="D10" s="838"/>
      <c r="E10" s="838"/>
      <c r="F10" s="358">
        <v>11554</v>
      </c>
      <c r="G10" s="838">
        <v>66408</v>
      </c>
      <c r="H10" s="838"/>
      <c r="I10" s="358">
        <v>33028</v>
      </c>
      <c r="J10" s="838">
        <v>7172</v>
      </c>
      <c r="K10" s="838"/>
      <c r="L10" s="359">
        <v>2776</v>
      </c>
      <c r="M10" s="81"/>
      <c r="N10" s="819" t="s">
        <v>548</v>
      </c>
      <c r="O10" s="767"/>
      <c r="P10" s="859"/>
      <c r="Q10" s="846">
        <v>30.2</v>
      </c>
      <c r="R10" s="846"/>
      <c r="S10" s="845">
        <v>18.5</v>
      </c>
      <c r="T10" s="845"/>
      <c r="U10" s="845">
        <v>48.6</v>
      </c>
      <c r="V10" s="845"/>
      <c r="W10" s="848">
        <v>61.2</v>
      </c>
      <c r="X10" s="849"/>
    </row>
    <row r="11" spans="1:24" ht="20.100000000000001" customHeight="1" thickBot="1">
      <c r="A11" s="254"/>
      <c r="B11" s="107"/>
      <c r="C11" s="360"/>
      <c r="D11" s="360"/>
      <c r="E11" s="360"/>
      <c r="F11" s="358"/>
      <c r="G11" s="360"/>
      <c r="H11" s="360"/>
      <c r="I11" s="358"/>
      <c r="J11" s="360"/>
      <c r="K11" s="360"/>
      <c r="L11" s="359"/>
      <c r="M11" s="108"/>
      <c r="N11" s="850" t="s">
        <v>549</v>
      </c>
      <c r="O11" s="851"/>
      <c r="P11" s="852"/>
      <c r="Q11" s="853">
        <v>29.3</v>
      </c>
      <c r="R11" s="853"/>
      <c r="S11" s="854">
        <v>21.8</v>
      </c>
      <c r="T11" s="854"/>
      <c r="U11" s="855">
        <v>51.1</v>
      </c>
      <c r="V11" s="855"/>
      <c r="W11" s="843">
        <v>74.5</v>
      </c>
      <c r="X11" s="844"/>
    </row>
    <row r="12" spans="1:24" ht="20.100000000000001" customHeight="1">
      <c r="A12" s="836" t="s">
        <v>550</v>
      </c>
      <c r="B12" s="837"/>
      <c r="C12" s="838">
        <v>21892</v>
      </c>
      <c r="D12" s="838"/>
      <c r="E12" s="838"/>
      <c r="F12" s="358">
        <v>11286</v>
      </c>
      <c r="G12" s="838">
        <v>68413</v>
      </c>
      <c r="H12" s="838"/>
      <c r="I12" s="358">
        <v>33660</v>
      </c>
      <c r="J12" s="838">
        <v>9917</v>
      </c>
      <c r="K12" s="838"/>
      <c r="L12" s="359">
        <v>4165</v>
      </c>
      <c r="M12" s="108"/>
      <c r="X12" s="7" t="s">
        <v>645</v>
      </c>
    </row>
    <row r="13" spans="1:24" ht="20.100000000000001" customHeight="1">
      <c r="A13" s="254"/>
      <c r="B13" s="107"/>
      <c r="C13" s="360"/>
      <c r="D13" s="360"/>
      <c r="E13" s="360"/>
      <c r="F13" s="358"/>
      <c r="G13" s="360"/>
      <c r="H13" s="360"/>
      <c r="I13" s="358"/>
      <c r="J13" s="360"/>
      <c r="K13" s="360"/>
      <c r="L13" s="359"/>
      <c r="M13" s="108"/>
      <c r="N13" s="109"/>
      <c r="P13" s="847" t="s">
        <v>361</v>
      </c>
      <c r="Q13" s="847"/>
      <c r="V13" s="110" t="s">
        <v>362</v>
      </c>
    </row>
    <row r="14" spans="1:24" ht="20.100000000000001" customHeight="1">
      <c r="A14" s="836" t="s">
        <v>551</v>
      </c>
      <c r="B14" s="837"/>
      <c r="C14" s="838">
        <v>21528</v>
      </c>
      <c r="D14" s="838"/>
      <c r="E14" s="838"/>
      <c r="F14" s="358">
        <v>11208</v>
      </c>
      <c r="G14" s="838">
        <v>71343</v>
      </c>
      <c r="H14" s="838"/>
      <c r="I14" s="358">
        <v>35226</v>
      </c>
      <c r="J14" s="838">
        <v>13169</v>
      </c>
      <c r="K14" s="838"/>
      <c r="L14" s="359">
        <v>5689</v>
      </c>
      <c r="M14" s="108"/>
      <c r="N14" s="5" t="s">
        <v>363</v>
      </c>
      <c r="O14" s="37"/>
      <c r="P14" s="111"/>
      <c r="Q14" s="5" t="s">
        <v>364</v>
      </c>
      <c r="R14" s="5" t="s">
        <v>365</v>
      </c>
      <c r="T14" s="5" t="s">
        <v>366</v>
      </c>
      <c r="W14" s="5" t="s">
        <v>367</v>
      </c>
    </row>
    <row r="15" spans="1:24" ht="20.100000000000001" customHeight="1">
      <c r="A15" s="254"/>
      <c r="B15" s="107"/>
      <c r="C15" s="360"/>
      <c r="D15" s="360"/>
      <c r="E15" s="360"/>
      <c r="F15" s="358"/>
      <c r="G15" s="360"/>
      <c r="H15" s="360"/>
      <c r="I15" s="358"/>
      <c r="J15" s="360"/>
      <c r="K15" s="360"/>
      <c r="L15" s="359"/>
      <c r="M15" s="108"/>
      <c r="N15" s="87"/>
      <c r="O15" s="111"/>
      <c r="P15" s="839" t="s">
        <v>368</v>
      </c>
      <c r="Q15" s="839"/>
      <c r="V15" s="112" t="s">
        <v>368</v>
      </c>
    </row>
    <row r="16" spans="1:24" ht="20.100000000000001" customHeight="1" thickBot="1">
      <c r="A16" s="840" t="s">
        <v>552</v>
      </c>
      <c r="B16" s="841"/>
      <c r="C16" s="842">
        <v>21264</v>
      </c>
      <c r="D16" s="842"/>
      <c r="E16" s="842"/>
      <c r="F16" s="361">
        <v>10962</v>
      </c>
      <c r="G16" s="842">
        <v>72687</v>
      </c>
      <c r="H16" s="842"/>
      <c r="I16" s="361">
        <v>35732</v>
      </c>
      <c r="J16" s="842">
        <f>15846</f>
        <v>15846</v>
      </c>
      <c r="K16" s="842"/>
      <c r="L16" s="362">
        <v>6910</v>
      </c>
      <c r="M16" s="108"/>
    </row>
    <row r="17" spans="1:24" ht="20.100000000000001" customHeight="1">
      <c r="A17" s="5" t="s">
        <v>369</v>
      </c>
      <c r="L17" s="7" t="s">
        <v>276</v>
      </c>
      <c r="M17" s="108"/>
      <c r="N17" s="5" t="s">
        <v>370</v>
      </c>
      <c r="O17" s="111"/>
      <c r="P17" s="109" t="s">
        <v>371</v>
      </c>
      <c r="Q17" s="113"/>
      <c r="U17" s="109" t="s">
        <v>372</v>
      </c>
    </row>
    <row r="18" spans="1:24" ht="20.100000000000001" customHeight="1">
      <c r="H18" s="404"/>
      <c r="M18" s="7"/>
      <c r="N18" s="5" t="s">
        <v>373</v>
      </c>
      <c r="O18" s="37"/>
      <c r="S18" s="37" t="s">
        <v>374</v>
      </c>
      <c r="T18" s="5" t="s">
        <v>375</v>
      </c>
      <c r="U18" s="37"/>
      <c r="W18" s="5" t="s">
        <v>376</v>
      </c>
    </row>
    <row r="19" spans="1:24" ht="20.100000000000001" customHeight="1">
      <c r="A19" s="5"/>
      <c r="N19" s="87"/>
      <c r="Q19" s="112" t="s">
        <v>368</v>
      </c>
      <c r="U19" s="835" t="s">
        <v>361</v>
      </c>
      <c r="V19" s="835"/>
    </row>
    <row r="20" spans="1:24" ht="12" customHeight="1">
      <c r="A20" s="5"/>
      <c r="N20" s="87"/>
      <c r="Q20" s="112"/>
      <c r="U20" s="114"/>
      <c r="V20" s="114"/>
    </row>
    <row r="21" spans="1:24" ht="15" customHeight="1" thickBot="1">
      <c r="A21" s="16" t="s">
        <v>377</v>
      </c>
      <c r="M21" s="111"/>
      <c r="X21" s="7" t="s">
        <v>207</v>
      </c>
    </row>
    <row r="22" spans="1:24" ht="30" customHeight="1">
      <c r="A22" s="255" t="s">
        <v>378</v>
      </c>
      <c r="B22" s="256"/>
      <c r="C22" s="257"/>
      <c r="D22" s="684" t="s">
        <v>379</v>
      </c>
      <c r="E22" s="684"/>
      <c r="F22" s="243" t="s">
        <v>380</v>
      </c>
      <c r="G22" s="243" t="s">
        <v>381</v>
      </c>
      <c r="H22" s="243" t="s">
        <v>382</v>
      </c>
      <c r="I22" s="243" t="s">
        <v>383</v>
      </c>
      <c r="J22" s="243" t="s">
        <v>327</v>
      </c>
      <c r="K22" s="243" t="s">
        <v>328</v>
      </c>
      <c r="L22" s="440" t="s">
        <v>329</v>
      </c>
      <c r="M22" s="633"/>
      <c r="N22" s="634" t="s">
        <v>384</v>
      </c>
      <c r="O22" s="243" t="s">
        <v>385</v>
      </c>
      <c r="P22" s="243" t="s">
        <v>386</v>
      </c>
      <c r="Q22" s="243" t="s">
        <v>387</v>
      </c>
      <c r="R22" s="243" t="s">
        <v>388</v>
      </c>
      <c r="S22" s="243" t="s">
        <v>341</v>
      </c>
      <c r="T22" s="243" t="s">
        <v>342</v>
      </c>
      <c r="U22" s="243" t="s">
        <v>343</v>
      </c>
      <c r="V22" s="243" t="s">
        <v>344</v>
      </c>
      <c r="W22" s="243" t="s">
        <v>389</v>
      </c>
      <c r="X22" s="217" t="s">
        <v>390</v>
      </c>
    </row>
    <row r="23" spans="1:24" ht="24" customHeight="1">
      <c r="A23" s="191" t="s">
        <v>391</v>
      </c>
      <c r="B23" s="830" t="s">
        <v>392</v>
      </c>
      <c r="C23" s="830"/>
      <c r="D23" s="831">
        <f>SUM(F23:X23)</f>
        <v>100</v>
      </c>
      <c r="E23" s="831"/>
      <c r="F23" s="396">
        <f>F24/$D$24*100</f>
        <v>8.0071248515655924</v>
      </c>
      <c r="G23" s="396">
        <f t="shared" ref="G23:L23" si="0">G24/$D$24*100</f>
        <v>7.6665069477719214</v>
      </c>
      <c r="H23" s="396">
        <f t="shared" si="0"/>
        <v>7.6800483323264102</v>
      </c>
      <c r="I23" s="396">
        <f t="shared" si="0"/>
        <v>7.463386179454595</v>
      </c>
      <c r="J23" s="396">
        <f t="shared" si="0"/>
        <v>8.0092081414970533</v>
      </c>
      <c r="K23" s="396">
        <f t="shared" si="0"/>
        <v>8.4341992875148435</v>
      </c>
      <c r="L23" s="396">
        <f t="shared" si="0"/>
        <v>8.3446178204620729</v>
      </c>
      <c r="M23" s="115"/>
      <c r="N23" s="135">
        <f>N24/$D$24*100</f>
        <v>7.8029624382825364</v>
      </c>
      <c r="O23" s="135">
        <f t="shared" ref="O23:X23" si="1">O24/$D$24*100</f>
        <v>8.1539967917335066</v>
      </c>
      <c r="P23" s="135">
        <f t="shared" si="1"/>
        <v>6.7644424074498444</v>
      </c>
      <c r="Q23" s="135">
        <f t="shared" si="1"/>
        <v>4.930105622799525</v>
      </c>
      <c r="R23" s="135">
        <f t="shared" si="1"/>
        <v>5.1061436220078749</v>
      </c>
      <c r="S23" s="135">
        <f t="shared" si="1"/>
        <v>4.164496572988063</v>
      </c>
      <c r="T23" s="135">
        <f t="shared" si="1"/>
        <v>2.6780692068915228</v>
      </c>
      <c r="U23" s="135">
        <f t="shared" si="1"/>
        <v>1.8187121101643715</v>
      </c>
      <c r="V23" s="135">
        <f t="shared" si="1"/>
        <v>1.3228891064769484</v>
      </c>
      <c r="W23" s="135">
        <f t="shared" si="1"/>
        <v>1.6510072706818608</v>
      </c>
      <c r="X23" s="439">
        <f t="shared" si="1"/>
        <v>2.0832899314597612E-3</v>
      </c>
    </row>
    <row r="24" spans="1:24" s="507" customFormat="1" ht="24" customHeight="1">
      <c r="A24" s="191" t="s">
        <v>393</v>
      </c>
      <c r="B24" s="832" t="s">
        <v>394</v>
      </c>
      <c r="C24" s="832"/>
      <c r="D24" s="833">
        <f t="shared" ref="D24:D38" si="2">SUM(F24:X24)</f>
        <v>96002</v>
      </c>
      <c r="E24" s="833"/>
      <c r="F24" s="71">
        <f t="shared" ref="F24:L24" si="3">F25+F26</f>
        <v>7687</v>
      </c>
      <c r="G24" s="71">
        <f t="shared" si="3"/>
        <v>7360</v>
      </c>
      <c r="H24" s="71">
        <f t="shared" si="3"/>
        <v>7373</v>
      </c>
      <c r="I24" s="71">
        <f t="shared" si="3"/>
        <v>7165</v>
      </c>
      <c r="J24" s="71">
        <f t="shared" si="3"/>
        <v>7689</v>
      </c>
      <c r="K24" s="71">
        <f t="shared" si="3"/>
        <v>8097</v>
      </c>
      <c r="L24" s="71">
        <f t="shared" si="3"/>
        <v>8011</v>
      </c>
      <c r="M24" s="71"/>
      <c r="N24" s="71">
        <f t="shared" ref="N24:X24" si="4">N25+N26</f>
        <v>7491</v>
      </c>
      <c r="O24" s="71">
        <f t="shared" si="4"/>
        <v>7828</v>
      </c>
      <c r="P24" s="71">
        <f t="shared" si="4"/>
        <v>6494</v>
      </c>
      <c r="Q24" s="71">
        <f t="shared" si="4"/>
        <v>4733</v>
      </c>
      <c r="R24" s="71">
        <f t="shared" si="4"/>
        <v>4902</v>
      </c>
      <c r="S24" s="71">
        <f t="shared" si="4"/>
        <v>3998</v>
      </c>
      <c r="T24" s="71">
        <f t="shared" si="4"/>
        <v>2571</v>
      </c>
      <c r="U24" s="71">
        <f t="shared" si="4"/>
        <v>1746</v>
      </c>
      <c r="V24" s="71">
        <f t="shared" si="4"/>
        <v>1270</v>
      </c>
      <c r="W24" s="71">
        <f t="shared" si="4"/>
        <v>1585</v>
      </c>
      <c r="X24" s="221">
        <f t="shared" si="4"/>
        <v>2</v>
      </c>
    </row>
    <row r="25" spans="1:24" ht="24" customHeight="1">
      <c r="A25" s="248" t="s">
        <v>49</v>
      </c>
      <c r="B25" s="814" t="s">
        <v>23</v>
      </c>
      <c r="C25" s="814"/>
      <c r="D25" s="828">
        <f t="shared" si="2"/>
        <v>47360</v>
      </c>
      <c r="E25" s="828"/>
      <c r="F25" s="2">
        <v>3931</v>
      </c>
      <c r="G25" s="2">
        <v>3806</v>
      </c>
      <c r="H25" s="2">
        <v>3817</v>
      </c>
      <c r="I25" s="2">
        <v>3626</v>
      </c>
      <c r="J25" s="2">
        <v>3784</v>
      </c>
      <c r="K25" s="2">
        <v>3843</v>
      </c>
      <c r="L25" s="2">
        <v>3909</v>
      </c>
      <c r="M25" s="2"/>
      <c r="N25" s="2">
        <v>3809</v>
      </c>
      <c r="O25" s="2">
        <v>3974</v>
      </c>
      <c r="P25" s="2">
        <v>3328</v>
      </c>
      <c r="Q25" s="2">
        <v>2322</v>
      </c>
      <c r="R25" s="2">
        <v>2461</v>
      </c>
      <c r="S25" s="2">
        <v>1972</v>
      </c>
      <c r="T25" s="2">
        <v>1169</v>
      </c>
      <c r="U25" s="2">
        <v>719</v>
      </c>
      <c r="V25" s="2">
        <v>453</v>
      </c>
      <c r="W25" s="2">
        <v>435</v>
      </c>
      <c r="X25" s="211">
        <v>2</v>
      </c>
    </row>
    <row r="26" spans="1:24" ht="24" customHeight="1">
      <c r="A26" s="192" t="s">
        <v>395</v>
      </c>
      <c r="B26" s="834" t="s">
        <v>24</v>
      </c>
      <c r="C26" s="834"/>
      <c r="D26" s="828">
        <f t="shared" si="2"/>
        <v>48642</v>
      </c>
      <c r="E26" s="828"/>
      <c r="F26" s="2">
        <v>3756</v>
      </c>
      <c r="G26" s="2">
        <v>3554</v>
      </c>
      <c r="H26" s="2">
        <v>3556</v>
      </c>
      <c r="I26" s="2">
        <v>3539</v>
      </c>
      <c r="J26" s="2">
        <v>3905</v>
      </c>
      <c r="K26" s="2">
        <v>4254</v>
      </c>
      <c r="L26" s="2">
        <v>4102</v>
      </c>
      <c r="M26" s="2"/>
      <c r="N26" s="2">
        <v>3682</v>
      </c>
      <c r="O26" s="2">
        <v>3854</v>
      </c>
      <c r="P26" s="2">
        <v>3166</v>
      </c>
      <c r="Q26" s="2">
        <v>2411</v>
      </c>
      <c r="R26" s="2">
        <v>2441</v>
      </c>
      <c r="S26" s="2">
        <v>2026</v>
      </c>
      <c r="T26" s="2">
        <v>1402</v>
      </c>
      <c r="U26" s="2">
        <v>1027</v>
      </c>
      <c r="V26" s="2">
        <v>817</v>
      </c>
      <c r="W26" s="2">
        <v>1150</v>
      </c>
      <c r="X26" s="504">
        <v>0</v>
      </c>
    </row>
    <row r="27" spans="1:24" ht="24" customHeight="1">
      <c r="A27" s="191" t="s">
        <v>391</v>
      </c>
      <c r="B27" s="830" t="s">
        <v>392</v>
      </c>
      <c r="C27" s="830"/>
      <c r="D27" s="831">
        <f t="shared" si="2"/>
        <v>100.00000000000001</v>
      </c>
      <c r="E27" s="831"/>
      <c r="F27" s="396">
        <f>F28/$D$28*100</f>
        <v>7.5262327953744625</v>
      </c>
      <c r="G27" s="396">
        <f t="shared" ref="G27:L27" si="5">G28/$D$28*100</f>
        <v>6.943173632877139</v>
      </c>
      <c r="H27" s="396">
        <f t="shared" si="5"/>
        <v>6.839994549029532</v>
      </c>
      <c r="I27" s="396">
        <f t="shared" si="5"/>
        <v>6.9266260439581835</v>
      </c>
      <c r="J27" s="396">
        <f t="shared" si="5"/>
        <v>6.1985321315241304</v>
      </c>
      <c r="K27" s="396">
        <f t="shared" si="5"/>
        <v>8.5142211925944675</v>
      </c>
      <c r="L27" s="396">
        <f t="shared" si="5"/>
        <v>8.3331711020694232</v>
      </c>
      <c r="M27" s="115"/>
      <c r="N27" s="396">
        <f>N28/$D$28*100</f>
        <v>7.575875562131329</v>
      </c>
      <c r="O27" s="396">
        <f t="shared" ref="O27:X27" si="6">O28/$D$28*100</f>
        <v>6.8672494013666361</v>
      </c>
      <c r="P27" s="396">
        <f t="shared" si="6"/>
        <v>7.1514785757392882</v>
      </c>
      <c r="Q27" s="396">
        <f t="shared" si="6"/>
        <v>6.0067747775809375</v>
      </c>
      <c r="R27" s="396">
        <f t="shared" si="6"/>
        <v>4.4055522027761018</v>
      </c>
      <c r="S27" s="396">
        <f t="shared" si="6"/>
        <v>4.6128837580547826</v>
      </c>
      <c r="T27" s="396">
        <f t="shared" si="6"/>
        <v>3.7163937936807683</v>
      </c>
      <c r="U27" s="396">
        <f t="shared" si="6"/>
        <v>2.382852804329628</v>
      </c>
      <c r="V27" s="396">
        <f t="shared" si="6"/>
        <v>1.5136176922927171</v>
      </c>
      <c r="W27" s="396">
        <f t="shared" si="6"/>
        <v>2.040220374948897</v>
      </c>
      <c r="X27" s="375">
        <f t="shared" si="6"/>
        <v>2.4451496096715792</v>
      </c>
    </row>
    <row r="28" spans="1:24" s="507" customFormat="1" ht="24" customHeight="1">
      <c r="A28" s="191" t="s">
        <v>393</v>
      </c>
      <c r="B28" s="832" t="s">
        <v>394</v>
      </c>
      <c r="C28" s="832"/>
      <c r="D28" s="833">
        <f t="shared" si="2"/>
        <v>102734</v>
      </c>
      <c r="E28" s="833"/>
      <c r="F28" s="71">
        <f t="shared" ref="F28:L28" si="7">F29+F30</f>
        <v>7732</v>
      </c>
      <c r="G28" s="71">
        <f t="shared" si="7"/>
        <v>7133</v>
      </c>
      <c r="H28" s="71">
        <f t="shared" si="7"/>
        <v>7027</v>
      </c>
      <c r="I28" s="71">
        <f t="shared" si="7"/>
        <v>7116</v>
      </c>
      <c r="J28" s="71">
        <f t="shared" si="7"/>
        <v>6368</v>
      </c>
      <c r="K28" s="71">
        <f t="shared" si="7"/>
        <v>8747</v>
      </c>
      <c r="L28" s="71">
        <f t="shared" si="7"/>
        <v>8561</v>
      </c>
      <c r="M28" s="71"/>
      <c r="N28" s="71">
        <f t="shared" ref="N28:X28" si="8">N29+N30</f>
        <v>7783</v>
      </c>
      <c r="O28" s="71">
        <f t="shared" si="8"/>
        <v>7055</v>
      </c>
      <c r="P28" s="71">
        <f t="shared" si="8"/>
        <v>7347</v>
      </c>
      <c r="Q28" s="71">
        <f t="shared" si="8"/>
        <v>6171</v>
      </c>
      <c r="R28" s="71">
        <f t="shared" si="8"/>
        <v>4526</v>
      </c>
      <c r="S28" s="71">
        <f t="shared" si="8"/>
        <v>4739</v>
      </c>
      <c r="T28" s="71">
        <f t="shared" si="8"/>
        <v>3818</v>
      </c>
      <c r="U28" s="71">
        <f t="shared" si="8"/>
        <v>2448</v>
      </c>
      <c r="V28" s="71">
        <f t="shared" si="8"/>
        <v>1555</v>
      </c>
      <c r="W28" s="71">
        <f t="shared" si="8"/>
        <v>2096</v>
      </c>
      <c r="X28" s="221">
        <f t="shared" si="8"/>
        <v>2512</v>
      </c>
    </row>
    <row r="29" spans="1:24" ht="24" customHeight="1">
      <c r="A29" s="191">
        <v>12</v>
      </c>
      <c r="B29" s="814" t="s">
        <v>23</v>
      </c>
      <c r="C29" s="814"/>
      <c r="D29" s="828">
        <f t="shared" si="2"/>
        <v>50440</v>
      </c>
      <c r="E29" s="828"/>
      <c r="F29" s="2">
        <v>4013</v>
      </c>
      <c r="G29" s="2">
        <v>3646</v>
      </c>
      <c r="H29" s="2">
        <v>3627</v>
      </c>
      <c r="I29" s="2">
        <v>3646</v>
      </c>
      <c r="J29" s="2">
        <v>3060</v>
      </c>
      <c r="K29" s="2">
        <v>4182</v>
      </c>
      <c r="L29" s="2">
        <v>4124</v>
      </c>
      <c r="M29" s="2"/>
      <c r="N29" s="2">
        <v>3850</v>
      </c>
      <c r="O29" s="2">
        <v>3548</v>
      </c>
      <c r="P29" s="2">
        <v>3621</v>
      </c>
      <c r="Q29" s="2">
        <v>3094</v>
      </c>
      <c r="R29" s="2">
        <v>2210</v>
      </c>
      <c r="S29" s="2">
        <v>2325</v>
      </c>
      <c r="T29" s="2">
        <v>1868</v>
      </c>
      <c r="U29" s="2">
        <v>1096</v>
      </c>
      <c r="V29" s="2">
        <v>611</v>
      </c>
      <c r="W29" s="2">
        <v>590</v>
      </c>
      <c r="X29" s="211">
        <v>1329</v>
      </c>
    </row>
    <row r="30" spans="1:24" ht="24" customHeight="1">
      <c r="A30" s="192" t="s">
        <v>395</v>
      </c>
      <c r="B30" s="834" t="s">
        <v>24</v>
      </c>
      <c r="C30" s="834"/>
      <c r="D30" s="828">
        <f t="shared" si="2"/>
        <v>52294</v>
      </c>
      <c r="E30" s="828"/>
      <c r="F30" s="2">
        <v>3719</v>
      </c>
      <c r="G30" s="2">
        <v>3487</v>
      </c>
      <c r="H30" s="2">
        <v>3400</v>
      </c>
      <c r="I30" s="2">
        <v>3470</v>
      </c>
      <c r="J30" s="2">
        <v>3308</v>
      </c>
      <c r="K30" s="2">
        <v>4565</v>
      </c>
      <c r="L30" s="2">
        <v>4437</v>
      </c>
      <c r="M30" s="2"/>
      <c r="N30" s="2">
        <v>3933</v>
      </c>
      <c r="O30" s="2">
        <v>3507</v>
      </c>
      <c r="P30" s="2">
        <v>3726</v>
      </c>
      <c r="Q30" s="2">
        <v>3077</v>
      </c>
      <c r="R30" s="2">
        <v>2316</v>
      </c>
      <c r="S30" s="2">
        <v>2414</v>
      </c>
      <c r="T30" s="2">
        <v>1950</v>
      </c>
      <c r="U30" s="2">
        <v>1352</v>
      </c>
      <c r="V30" s="2">
        <v>944</v>
      </c>
      <c r="W30" s="2">
        <v>1506</v>
      </c>
      <c r="X30" s="211">
        <v>1183</v>
      </c>
    </row>
    <row r="31" spans="1:24" ht="24" customHeight="1">
      <c r="A31" s="191" t="s">
        <v>391</v>
      </c>
      <c r="B31" s="830" t="s">
        <v>392</v>
      </c>
      <c r="C31" s="830"/>
      <c r="D31" s="831">
        <f>SUM(F31:X31)</f>
        <v>100.00000000000001</v>
      </c>
      <c r="E31" s="831"/>
      <c r="F31" s="396">
        <f>F32/$D$32*100</f>
        <v>6.9090703354109895</v>
      </c>
      <c r="G31" s="396">
        <f t="shared" ref="G31:L31" si="9">G32/$D$32*100</f>
        <v>6.8770096842025854</v>
      </c>
      <c r="H31" s="396">
        <f t="shared" si="9"/>
        <v>6.5139699572838969</v>
      </c>
      <c r="I31" s="396">
        <f t="shared" si="9"/>
        <v>6.4121302416807326</v>
      </c>
      <c r="J31" s="396">
        <f t="shared" si="9"/>
        <v>6.0868089279484012</v>
      </c>
      <c r="K31" s="396">
        <f t="shared" si="9"/>
        <v>7.2598515780441115</v>
      </c>
      <c r="L31" s="396">
        <f t="shared" si="9"/>
        <v>8.9562372111005288</v>
      </c>
      <c r="M31" s="115"/>
      <c r="N31" s="396">
        <f>N32/$D$32*100</f>
        <v>7.9189808484757043</v>
      </c>
      <c r="O31" s="396">
        <f t="shared" ref="O31:X31" si="10">O32/$D$32*100</f>
        <v>7.0976624013427765</v>
      </c>
      <c r="P31" s="396">
        <f t="shared" si="10"/>
        <v>6.5601750134371848</v>
      </c>
      <c r="Q31" s="396">
        <f t="shared" si="10"/>
        <v>6.9062414544220125</v>
      </c>
      <c r="R31" s="396">
        <f t="shared" si="10"/>
        <v>5.7869475431168613</v>
      </c>
      <c r="S31" s="396">
        <f t="shared" si="10"/>
        <v>4.2885835792888187</v>
      </c>
      <c r="T31" s="396">
        <f t="shared" si="10"/>
        <v>4.3762788899471001</v>
      </c>
      <c r="U31" s="396">
        <f t="shared" si="10"/>
        <v>3.3776839008382917</v>
      </c>
      <c r="V31" s="396">
        <f t="shared" si="10"/>
        <v>2.1131740987656649</v>
      </c>
      <c r="W31" s="396">
        <f t="shared" si="10"/>
        <v>2.5507076917274092</v>
      </c>
      <c r="X31" s="375">
        <f t="shared" si="10"/>
        <v>8.4866429669303804E-3</v>
      </c>
    </row>
    <row r="32" spans="1:24" s="507" customFormat="1" ht="24" customHeight="1">
      <c r="A32" s="191" t="s">
        <v>393</v>
      </c>
      <c r="B32" s="832" t="s">
        <v>394</v>
      </c>
      <c r="C32" s="832"/>
      <c r="D32" s="833">
        <f t="shared" si="2"/>
        <v>106049</v>
      </c>
      <c r="E32" s="833"/>
      <c r="F32" s="71">
        <f t="shared" ref="F32:L32" si="11">F33+F34</f>
        <v>7327</v>
      </c>
      <c r="G32" s="71">
        <f t="shared" si="11"/>
        <v>7293</v>
      </c>
      <c r="H32" s="71">
        <f t="shared" si="11"/>
        <v>6908</v>
      </c>
      <c r="I32" s="71">
        <f t="shared" si="11"/>
        <v>6800</v>
      </c>
      <c r="J32" s="71">
        <f t="shared" si="11"/>
        <v>6455</v>
      </c>
      <c r="K32" s="71">
        <f t="shared" si="11"/>
        <v>7699</v>
      </c>
      <c r="L32" s="71">
        <f t="shared" si="11"/>
        <v>9498</v>
      </c>
      <c r="M32" s="71"/>
      <c r="N32" s="71">
        <f t="shared" ref="N32:X32" si="12">N33+N34</f>
        <v>8398</v>
      </c>
      <c r="O32" s="71">
        <f t="shared" si="12"/>
        <v>7527</v>
      </c>
      <c r="P32" s="71">
        <f t="shared" si="12"/>
        <v>6957</v>
      </c>
      <c r="Q32" s="71">
        <f t="shared" si="12"/>
        <v>7324</v>
      </c>
      <c r="R32" s="71">
        <f t="shared" si="12"/>
        <v>6137</v>
      </c>
      <c r="S32" s="71">
        <f t="shared" si="12"/>
        <v>4548</v>
      </c>
      <c r="T32" s="71">
        <f t="shared" si="12"/>
        <v>4641</v>
      </c>
      <c r="U32" s="71">
        <f t="shared" si="12"/>
        <v>3582</v>
      </c>
      <c r="V32" s="71">
        <f t="shared" si="12"/>
        <v>2241</v>
      </c>
      <c r="W32" s="71">
        <f t="shared" si="12"/>
        <v>2705</v>
      </c>
      <c r="X32" s="221">
        <f t="shared" si="12"/>
        <v>9</v>
      </c>
    </row>
    <row r="33" spans="1:24" ht="24" customHeight="1">
      <c r="A33" s="191">
        <v>17</v>
      </c>
      <c r="B33" s="814" t="s">
        <v>23</v>
      </c>
      <c r="C33" s="814"/>
      <c r="D33" s="828">
        <f t="shared" si="2"/>
        <v>52128</v>
      </c>
      <c r="E33" s="828"/>
      <c r="F33" s="2">
        <v>3811</v>
      </c>
      <c r="G33" s="2">
        <v>3814</v>
      </c>
      <c r="H33" s="2">
        <v>3583</v>
      </c>
      <c r="I33" s="2">
        <v>3479</v>
      </c>
      <c r="J33" s="2">
        <v>3196</v>
      </c>
      <c r="K33" s="2">
        <v>3739</v>
      </c>
      <c r="L33" s="2">
        <v>4660</v>
      </c>
      <c r="M33" s="2"/>
      <c r="N33" s="2">
        <v>4053</v>
      </c>
      <c r="O33" s="2">
        <v>3688</v>
      </c>
      <c r="P33" s="2">
        <v>3527</v>
      </c>
      <c r="Q33" s="2">
        <v>3596</v>
      </c>
      <c r="R33" s="2">
        <v>3086</v>
      </c>
      <c r="S33" s="2">
        <v>2202</v>
      </c>
      <c r="T33" s="2">
        <v>2241</v>
      </c>
      <c r="U33" s="2">
        <v>1692</v>
      </c>
      <c r="V33" s="2">
        <v>951</v>
      </c>
      <c r="W33" s="2">
        <v>805</v>
      </c>
      <c r="X33" s="211">
        <v>5</v>
      </c>
    </row>
    <row r="34" spans="1:24" ht="24" customHeight="1">
      <c r="A34" s="191" t="s">
        <v>395</v>
      </c>
      <c r="B34" s="814" t="s">
        <v>24</v>
      </c>
      <c r="C34" s="814"/>
      <c r="D34" s="828">
        <f t="shared" si="2"/>
        <v>53921</v>
      </c>
      <c r="E34" s="828"/>
      <c r="F34" s="2">
        <v>3516</v>
      </c>
      <c r="G34" s="2">
        <v>3479</v>
      </c>
      <c r="H34" s="2">
        <v>3325</v>
      </c>
      <c r="I34" s="2">
        <v>3321</v>
      </c>
      <c r="J34" s="2">
        <v>3259</v>
      </c>
      <c r="K34" s="2">
        <v>3960</v>
      </c>
      <c r="L34" s="2">
        <v>4838</v>
      </c>
      <c r="M34" s="2"/>
      <c r="N34" s="2">
        <v>4345</v>
      </c>
      <c r="O34" s="2">
        <v>3839</v>
      </c>
      <c r="P34" s="2">
        <v>3430</v>
      </c>
      <c r="Q34" s="2">
        <v>3728</v>
      </c>
      <c r="R34" s="2">
        <v>3051</v>
      </c>
      <c r="S34" s="2">
        <v>2346</v>
      </c>
      <c r="T34" s="2">
        <v>2400</v>
      </c>
      <c r="U34" s="2">
        <v>1890</v>
      </c>
      <c r="V34" s="2">
        <v>1290</v>
      </c>
      <c r="W34" s="2">
        <v>1900</v>
      </c>
      <c r="X34" s="211">
        <v>4</v>
      </c>
    </row>
    <row r="35" spans="1:24" ht="24" customHeight="1">
      <c r="A35" s="233" t="s">
        <v>391</v>
      </c>
      <c r="B35" s="830" t="s">
        <v>392</v>
      </c>
      <c r="C35" s="830"/>
      <c r="D35" s="831">
        <f>SUM(F35:X35)</f>
        <v>100.00000000000001</v>
      </c>
      <c r="E35" s="831"/>
      <c r="F35" s="396">
        <f>F36/$D$36*100</f>
        <v>6.5074172413480627</v>
      </c>
      <c r="G35" s="396">
        <f t="shared" ref="G35:L35" si="13">G36/$D$36*100</f>
        <v>6.3424889670234075</v>
      </c>
      <c r="H35" s="396">
        <f t="shared" si="13"/>
        <v>6.4195159083288784</v>
      </c>
      <c r="I35" s="396">
        <f t="shared" si="13"/>
        <v>6.0579423838479034</v>
      </c>
      <c r="J35" s="396">
        <f t="shared" si="13"/>
        <v>5.3375139328143835</v>
      </c>
      <c r="K35" s="396">
        <f t="shared" si="13"/>
        <v>6.5916937771293416</v>
      </c>
      <c r="L35" s="396">
        <f t="shared" si="13"/>
        <v>7.2785928537122455</v>
      </c>
      <c r="M35" s="115">
        <f>M36/$D$36</f>
        <v>0</v>
      </c>
      <c r="N35" s="396">
        <f>N36/$D$36*100</f>
        <v>8.5137425125282054</v>
      </c>
      <c r="O35" s="396">
        <f t="shared" ref="O35:X35" si="14">O36/$D$36*100</f>
        <v>7.3746499805167147</v>
      </c>
      <c r="P35" s="396">
        <f t="shared" si="14"/>
        <v>6.6052867667714841</v>
      </c>
      <c r="Q35" s="396">
        <f t="shared" si="14"/>
        <v>6.2038404726735603</v>
      </c>
      <c r="R35" s="396">
        <f t="shared" si="14"/>
        <v>6.4467018876131617</v>
      </c>
      <c r="S35" s="396">
        <f t="shared" si="14"/>
        <v>5.4589446402841846</v>
      </c>
      <c r="T35" s="396">
        <f t="shared" si="14"/>
        <v>3.9555599858632906</v>
      </c>
      <c r="U35" s="396">
        <f t="shared" si="14"/>
        <v>4.019900136836096</v>
      </c>
      <c r="V35" s="396">
        <f t="shared" si="14"/>
        <v>2.9732399343911702</v>
      </c>
      <c r="W35" s="396">
        <f t="shared" si="14"/>
        <v>3.4109342008681391</v>
      </c>
      <c r="X35" s="375">
        <f t="shared" si="14"/>
        <v>0.50203441744977384</v>
      </c>
    </row>
    <row r="36" spans="1:24" ht="24" customHeight="1">
      <c r="A36" s="191" t="s">
        <v>393</v>
      </c>
      <c r="B36" s="832" t="s">
        <v>394</v>
      </c>
      <c r="C36" s="832"/>
      <c r="D36" s="833">
        <f t="shared" si="2"/>
        <v>110351</v>
      </c>
      <c r="E36" s="833"/>
      <c r="F36" s="116">
        <f t="shared" ref="F36:L36" si="15">SUM(F37:F38)</f>
        <v>7181</v>
      </c>
      <c r="G36" s="71">
        <f t="shared" si="15"/>
        <v>6999</v>
      </c>
      <c r="H36" s="71">
        <f t="shared" si="15"/>
        <v>7084</v>
      </c>
      <c r="I36" s="71">
        <f t="shared" si="15"/>
        <v>6685</v>
      </c>
      <c r="J36" s="71">
        <f t="shared" si="15"/>
        <v>5890</v>
      </c>
      <c r="K36" s="71">
        <f t="shared" si="15"/>
        <v>7274</v>
      </c>
      <c r="L36" s="71">
        <f t="shared" si="15"/>
        <v>8032</v>
      </c>
      <c r="M36" s="71"/>
      <c r="N36" s="71">
        <f t="shared" ref="N36:X36" si="16">SUM(N37:N38)</f>
        <v>9395</v>
      </c>
      <c r="O36" s="71">
        <f t="shared" si="16"/>
        <v>8138</v>
      </c>
      <c r="P36" s="71">
        <f t="shared" si="16"/>
        <v>7289</v>
      </c>
      <c r="Q36" s="71">
        <f t="shared" si="16"/>
        <v>6846</v>
      </c>
      <c r="R36" s="71">
        <f t="shared" si="16"/>
        <v>7114</v>
      </c>
      <c r="S36" s="71">
        <f t="shared" si="16"/>
        <v>6024</v>
      </c>
      <c r="T36" s="71">
        <f t="shared" si="16"/>
        <v>4365</v>
      </c>
      <c r="U36" s="71">
        <f t="shared" si="16"/>
        <v>4436</v>
      </c>
      <c r="V36" s="71">
        <f t="shared" si="16"/>
        <v>3281</v>
      </c>
      <c r="W36" s="71">
        <f t="shared" si="16"/>
        <v>3764</v>
      </c>
      <c r="X36" s="221">
        <f t="shared" si="16"/>
        <v>554</v>
      </c>
    </row>
    <row r="37" spans="1:24" ht="24" customHeight="1">
      <c r="A37" s="248" t="s">
        <v>320</v>
      </c>
      <c r="B37" s="814" t="s">
        <v>23</v>
      </c>
      <c r="C37" s="814"/>
      <c r="D37" s="828">
        <f>SUM(F37:X37)</f>
        <v>53948</v>
      </c>
      <c r="E37" s="828"/>
      <c r="F37" s="2">
        <v>3678</v>
      </c>
      <c r="G37" s="2">
        <v>3637</v>
      </c>
      <c r="H37" s="2">
        <v>3647</v>
      </c>
      <c r="I37" s="2">
        <v>3405</v>
      </c>
      <c r="J37" s="2">
        <v>2967</v>
      </c>
      <c r="K37" s="2">
        <v>3500</v>
      </c>
      <c r="L37" s="2">
        <v>3893</v>
      </c>
      <c r="M37" s="2"/>
      <c r="N37" s="2">
        <v>4653</v>
      </c>
      <c r="O37" s="2">
        <v>3925</v>
      </c>
      <c r="P37" s="2">
        <v>3525</v>
      </c>
      <c r="Q37" s="2">
        <v>3420</v>
      </c>
      <c r="R37" s="2">
        <v>3427</v>
      </c>
      <c r="S37" s="2">
        <v>3017</v>
      </c>
      <c r="T37" s="2">
        <v>2094</v>
      </c>
      <c r="U37" s="2">
        <v>2100</v>
      </c>
      <c r="V37" s="2">
        <v>1477</v>
      </c>
      <c r="W37" s="2">
        <v>1239</v>
      </c>
      <c r="X37" s="211">
        <v>344</v>
      </c>
    </row>
    <row r="38" spans="1:24" ht="24" customHeight="1" thickBot="1">
      <c r="A38" s="259" t="s">
        <v>395</v>
      </c>
      <c r="B38" s="811" t="s">
        <v>24</v>
      </c>
      <c r="C38" s="811"/>
      <c r="D38" s="829">
        <f t="shared" si="2"/>
        <v>56403</v>
      </c>
      <c r="E38" s="829"/>
      <c r="F38" s="195">
        <v>3503</v>
      </c>
      <c r="G38" s="195">
        <v>3362</v>
      </c>
      <c r="H38" s="195">
        <v>3437</v>
      </c>
      <c r="I38" s="195">
        <v>3280</v>
      </c>
      <c r="J38" s="195">
        <v>2923</v>
      </c>
      <c r="K38" s="195">
        <v>3774</v>
      </c>
      <c r="L38" s="195">
        <v>4139</v>
      </c>
      <c r="M38" s="195"/>
      <c r="N38" s="195">
        <v>4742</v>
      </c>
      <c r="O38" s="195">
        <v>4213</v>
      </c>
      <c r="P38" s="195">
        <v>3764</v>
      </c>
      <c r="Q38" s="195">
        <v>3426</v>
      </c>
      <c r="R38" s="195">
        <v>3687</v>
      </c>
      <c r="S38" s="195">
        <v>3007</v>
      </c>
      <c r="T38" s="195">
        <v>2271</v>
      </c>
      <c r="U38" s="195">
        <v>2336</v>
      </c>
      <c r="V38" s="195">
        <v>1804</v>
      </c>
      <c r="W38" s="195">
        <v>2525</v>
      </c>
      <c r="X38" s="260">
        <v>210</v>
      </c>
    </row>
    <row r="39" spans="1:24" ht="16.5" customHeight="1">
      <c r="W39" s="505"/>
      <c r="X39" s="506" t="s">
        <v>645</v>
      </c>
    </row>
  </sheetData>
  <sheetProtection selectLockedCells="1" selectUnlockedCells="1"/>
  <mergeCells count="90">
    <mergeCell ref="S7:T7"/>
    <mergeCell ref="Q9:R9"/>
    <mergeCell ref="U9:V9"/>
    <mergeCell ref="W9:X9"/>
    <mergeCell ref="U8:V8"/>
    <mergeCell ref="W8:X8"/>
    <mergeCell ref="U7:V7"/>
    <mergeCell ref="W7:X7"/>
    <mergeCell ref="N10:P10"/>
    <mergeCell ref="N1:X1"/>
    <mergeCell ref="A4:L4"/>
    <mergeCell ref="N4:X4"/>
    <mergeCell ref="A7:B9"/>
    <mergeCell ref="C7:F7"/>
    <mergeCell ref="G7:I7"/>
    <mergeCell ref="J9:K9"/>
    <mergeCell ref="N9:P9"/>
    <mergeCell ref="A10:B10"/>
    <mergeCell ref="Q8:R8"/>
    <mergeCell ref="S8:T8"/>
    <mergeCell ref="S9:T9"/>
    <mergeCell ref="N7:P7"/>
    <mergeCell ref="N8:P8"/>
    <mergeCell ref="Q7:R7"/>
    <mergeCell ref="C10:E10"/>
    <mergeCell ref="G10:H10"/>
    <mergeCell ref="J10:K10"/>
    <mergeCell ref="J7:L7"/>
    <mergeCell ref="C9:E9"/>
    <mergeCell ref="G9:H9"/>
    <mergeCell ref="J8:L8"/>
    <mergeCell ref="C8:F8"/>
    <mergeCell ref="G8:I8"/>
    <mergeCell ref="W11:X11"/>
    <mergeCell ref="U10:V10"/>
    <mergeCell ref="Q10:R10"/>
    <mergeCell ref="S10:T10"/>
    <mergeCell ref="A14:B14"/>
    <mergeCell ref="P13:Q13"/>
    <mergeCell ref="J12:K12"/>
    <mergeCell ref="C14:E14"/>
    <mergeCell ref="G14:H14"/>
    <mergeCell ref="J14:K14"/>
    <mergeCell ref="G12:H12"/>
    <mergeCell ref="W10:X10"/>
    <mergeCell ref="N11:P11"/>
    <mergeCell ref="Q11:R11"/>
    <mergeCell ref="S11:T11"/>
    <mergeCell ref="U11:V11"/>
    <mergeCell ref="A12:B12"/>
    <mergeCell ref="C12:E12"/>
    <mergeCell ref="P15:Q15"/>
    <mergeCell ref="A16:B16"/>
    <mergeCell ref="C16:E16"/>
    <mergeCell ref="G16:H16"/>
    <mergeCell ref="J16:K16"/>
    <mergeCell ref="U19:V19"/>
    <mergeCell ref="D22:E22"/>
    <mergeCell ref="B23:C23"/>
    <mergeCell ref="D23:E23"/>
    <mergeCell ref="B25:C25"/>
    <mergeCell ref="D25:E25"/>
    <mergeCell ref="B24:C24"/>
    <mergeCell ref="D24:E24"/>
    <mergeCell ref="B26:C26"/>
    <mergeCell ref="D26:E26"/>
    <mergeCell ref="B27:C27"/>
    <mergeCell ref="D27:E27"/>
    <mergeCell ref="B28:C28"/>
    <mergeCell ref="D28:E28"/>
    <mergeCell ref="B33:C33"/>
    <mergeCell ref="D33:E33"/>
    <mergeCell ref="B29:C29"/>
    <mergeCell ref="D29:E29"/>
    <mergeCell ref="B31:C31"/>
    <mergeCell ref="D31:E31"/>
    <mergeCell ref="B32:C32"/>
    <mergeCell ref="D32:E32"/>
    <mergeCell ref="B30:C30"/>
    <mergeCell ref="D30:E30"/>
    <mergeCell ref="B34:C34"/>
    <mergeCell ref="D34:E34"/>
    <mergeCell ref="B38:C38"/>
    <mergeCell ref="D38:E38"/>
    <mergeCell ref="B35:C35"/>
    <mergeCell ref="D35:E35"/>
    <mergeCell ref="B36:C36"/>
    <mergeCell ref="D36:E36"/>
    <mergeCell ref="B37:C37"/>
    <mergeCell ref="D37:E3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&amp;L&amp;"ＭＳ 明朝,標準"&amp;10人　口</oddHeader>
    <oddFooter>&amp;C&amp;"ＭＳ 明朝,標準"&amp;10&amp;A</oddFooter>
  </headerFooter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39"/>
  <sheetViews>
    <sheetView view="pageBreakPreview" topLeftCell="Q28" zoomScaleNormal="90" zoomScaleSheetLayoutView="100" workbookViewId="0">
      <selection activeCell="X26" sqref="X26"/>
    </sheetView>
  </sheetViews>
  <sheetFormatPr defaultRowHeight="16.5" customHeight="1"/>
  <cols>
    <col min="1" max="1" width="3.125" style="6" customWidth="1"/>
    <col min="2" max="2" width="8.375" style="6" customWidth="1"/>
    <col min="3" max="3" width="7.625" style="6" customWidth="1"/>
    <col min="4" max="4" width="1.25" style="6" customWidth="1"/>
    <col min="5" max="5" width="8.375" style="6" customWidth="1"/>
    <col min="6" max="6" width="10" style="6" customWidth="1"/>
    <col min="7" max="12" width="8.375" style="6" customWidth="1"/>
    <col min="13" max="13" width="0.875" style="6" customWidth="1"/>
    <col min="14" max="24" width="8.25" style="6" customWidth="1"/>
    <col min="25" max="16384" width="9" style="6"/>
  </cols>
  <sheetData>
    <row r="1" spans="1:24" ht="5.0999999999999996" customHeight="1">
      <c r="A1" s="57"/>
      <c r="B1" s="5"/>
      <c r="C1" s="5"/>
      <c r="D1" s="5"/>
      <c r="N1" s="799"/>
      <c r="O1" s="799"/>
      <c r="P1" s="799"/>
      <c r="Q1" s="799"/>
      <c r="R1" s="799"/>
      <c r="S1" s="799"/>
      <c r="T1" s="799"/>
      <c r="U1" s="799"/>
      <c r="V1" s="799"/>
      <c r="W1" s="799"/>
      <c r="X1" s="799"/>
    </row>
    <row r="2" spans="1:24" ht="15" customHeight="1">
      <c r="A2" s="57" t="s">
        <v>348</v>
      </c>
      <c r="B2" s="5"/>
      <c r="C2" s="5"/>
      <c r="D2" s="5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5.0999999999999996" customHeight="1">
      <c r="A3" s="57"/>
      <c r="B3" s="5"/>
      <c r="C3" s="5"/>
      <c r="D3" s="5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s="102" customFormat="1" ht="60" customHeight="1">
      <c r="A4" s="860" t="s">
        <v>585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104"/>
      <c r="N4" s="797" t="s">
        <v>586</v>
      </c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4" ht="12" customHeight="1">
      <c r="A5" s="5"/>
      <c r="C5" s="5"/>
      <c r="D5" s="5"/>
      <c r="N5" s="5" t="s">
        <v>33</v>
      </c>
    </row>
    <row r="6" spans="1:24" ht="15" customHeight="1" thickBot="1">
      <c r="A6" s="16" t="s">
        <v>349</v>
      </c>
      <c r="L6" s="7" t="s">
        <v>31</v>
      </c>
      <c r="N6" s="5" t="s">
        <v>350</v>
      </c>
      <c r="X6" s="7"/>
    </row>
    <row r="7" spans="1:24" ht="20.100000000000001" customHeight="1">
      <c r="A7" s="783" t="s">
        <v>351</v>
      </c>
      <c r="B7" s="784"/>
      <c r="C7" s="856" t="s">
        <v>540</v>
      </c>
      <c r="D7" s="856"/>
      <c r="E7" s="856"/>
      <c r="F7" s="856"/>
      <c r="G7" s="856" t="s">
        <v>541</v>
      </c>
      <c r="H7" s="856"/>
      <c r="I7" s="856"/>
      <c r="J7" s="856" t="s">
        <v>542</v>
      </c>
      <c r="K7" s="856"/>
      <c r="L7" s="857"/>
      <c r="M7" s="7"/>
      <c r="N7" s="783" t="s">
        <v>352</v>
      </c>
      <c r="O7" s="784"/>
      <c r="P7" s="784"/>
      <c r="Q7" s="784" t="s">
        <v>353</v>
      </c>
      <c r="R7" s="784"/>
      <c r="S7" s="784" t="s">
        <v>354</v>
      </c>
      <c r="T7" s="784"/>
      <c r="U7" s="784" t="s">
        <v>355</v>
      </c>
      <c r="V7" s="784"/>
      <c r="W7" s="784" t="s">
        <v>356</v>
      </c>
      <c r="X7" s="789"/>
    </row>
    <row r="8" spans="1:24" ht="20.100000000000001" customHeight="1">
      <c r="A8" s="785"/>
      <c r="B8" s="781"/>
      <c r="C8" s="834" t="s">
        <v>357</v>
      </c>
      <c r="D8" s="834"/>
      <c r="E8" s="834"/>
      <c r="F8" s="834"/>
      <c r="G8" s="834" t="s">
        <v>32</v>
      </c>
      <c r="H8" s="834"/>
      <c r="I8" s="834"/>
      <c r="J8" s="834" t="s">
        <v>358</v>
      </c>
      <c r="K8" s="834"/>
      <c r="L8" s="858"/>
      <c r="M8" s="105"/>
      <c r="N8" s="863" t="s">
        <v>546</v>
      </c>
      <c r="O8" s="864"/>
      <c r="P8" s="864"/>
      <c r="Q8" s="846">
        <v>33.799999999999997</v>
      </c>
      <c r="R8" s="846"/>
      <c r="S8" s="845">
        <v>10.8</v>
      </c>
      <c r="T8" s="845"/>
      <c r="U8" s="845">
        <v>44.6</v>
      </c>
      <c r="V8" s="845"/>
      <c r="W8" s="848">
        <v>32</v>
      </c>
      <c r="X8" s="849"/>
    </row>
    <row r="9" spans="1:24" ht="20.100000000000001" customHeight="1">
      <c r="A9" s="785"/>
      <c r="B9" s="781"/>
      <c r="C9" s="781" t="s">
        <v>516</v>
      </c>
      <c r="D9" s="781"/>
      <c r="E9" s="781"/>
      <c r="F9" s="4" t="s">
        <v>359</v>
      </c>
      <c r="G9" s="781" t="s">
        <v>516</v>
      </c>
      <c r="H9" s="781"/>
      <c r="I9" s="4" t="s">
        <v>359</v>
      </c>
      <c r="J9" s="781" t="s">
        <v>516</v>
      </c>
      <c r="K9" s="781"/>
      <c r="L9" s="253" t="s">
        <v>359</v>
      </c>
      <c r="M9" s="52"/>
      <c r="N9" s="819" t="s">
        <v>547</v>
      </c>
      <c r="O9" s="767"/>
      <c r="P9" s="859"/>
      <c r="Q9" s="846">
        <v>32</v>
      </c>
      <c r="R9" s="846"/>
      <c r="S9" s="845">
        <v>14.5</v>
      </c>
      <c r="T9" s="845"/>
      <c r="U9" s="845">
        <v>46.5</v>
      </c>
      <c r="V9" s="845"/>
      <c r="W9" s="848">
        <v>45.3</v>
      </c>
      <c r="X9" s="849"/>
    </row>
    <row r="10" spans="1:24" ht="20.100000000000001" customHeight="1">
      <c r="A10" s="861" t="s">
        <v>360</v>
      </c>
      <c r="B10" s="862"/>
      <c r="C10" s="838">
        <v>22420</v>
      </c>
      <c r="D10" s="838"/>
      <c r="E10" s="838"/>
      <c r="F10" s="358">
        <v>11554</v>
      </c>
      <c r="G10" s="838">
        <v>66408</v>
      </c>
      <c r="H10" s="838"/>
      <c r="I10" s="358">
        <v>33028</v>
      </c>
      <c r="J10" s="838">
        <v>7172</v>
      </c>
      <c r="K10" s="838"/>
      <c r="L10" s="359">
        <v>2776</v>
      </c>
      <c r="M10" s="81"/>
      <c r="N10" s="819" t="s">
        <v>548</v>
      </c>
      <c r="O10" s="767"/>
      <c r="P10" s="859"/>
      <c r="Q10" s="846">
        <v>30.2</v>
      </c>
      <c r="R10" s="846"/>
      <c r="S10" s="845">
        <v>18.5</v>
      </c>
      <c r="T10" s="845"/>
      <c r="U10" s="845">
        <v>48.6</v>
      </c>
      <c r="V10" s="845"/>
      <c r="W10" s="848">
        <v>61.2</v>
      </c>
      <c r="X10" s="849"/>
    </row>
    <row r="11" spans="1:24" ht="20.100000000000001" customHeight="1" thickBot="1">
      <c r="A11" s="254"/>
      <c r="B11" s="107"/>
      <c r="C11" s="360"/>
      <c r="D11" s="360"/>
      <c r="E11" s="360"/>
      <c r="F11" s="358"/>
      <c r="G11" s="360"/>
      <c r="H11" s="360"/>
      <c r="I11" s="358"/>
      <c r="J11" s="360"/>
      <c r="K11" s="360"/>
      <c r="L11" s="359"/>
      <c r="M11" s="108"/>
      <c r="N11" s="850" t="s">
        <v>549</v>
      </c>
      <c r="O11" s="851"/>
      <c r="P11" s="852"/>
      <c r="Q11" s="853">
        <v>29.3</v>
      </c>
      <c r="R11" s="853"/>
      <c r="S11" s="854">
        <v>21.8</v>
      </c>
      <c r="T11" s="854"/>
      <c r="U11" s="855">
        <v>51.1</v>
      </c>
      <c r="V11" s="855"/>
      <c r="W11" s="843">
        <v>74.5</v>
      </c>
      <c r="X11" s="844"/>
    </row>
    <row r="12" spans="1:24" ht="20.100000000000001" customHeight="1">
      <c r="A12" s="836" t="s">
        <v>550</v>
      </c>
      <c r="B12" s="837"/>
      <c r="C12" s="838">
        <v>21892</v>
      </c>
      <c r="D12" s="838"/>
      <c r="E12" s="838"/>
      <c r="F12" s="358">
        <v>11286</v>
      </c>
      <c r="G12" s="838">
        <v>68413</v>
      </c>
      <c r="H12" s="838"/>
      <c r="I12" s="358">
        <v>33660</v>
      </c>
      <c r="J12" s="838">
        <v>9917</v>
      </c>
      <c r="K12" s="838"/>
      <c r="L12" s="359">
        <v>4165</v>
      </c>
      <c r="M12" s="108"/>
      <c r="X12" s="7" t="s">
        <v>645</v>
      </c>
    </row>
    <row r="13" spans="1:24" ht="20.100000000000001" customHeight="1">
      <c r="A13" s="254"/>
      <c r="B13" s="107"/>
      <c r="C13" s="360"/>
      <c r="D13" s="360"/>
      <c r="E13" s="360"/>
      <c r="F13" s="358"/>
      <c r="G13" s="360"/>
      <c r="H13" s="360"/>
      <c r="I13" s="358"/>
      <c r="J13" s="360"/>
      <c r="K13" s="360"/>
      <c r="L13" s="359"/>
      <c r="M13" s="108"/>
      <c r="N13" s="109"/>
      <c r="P13" s="847" t="s">
        <v>361</v>
      </c>
      <c r="Q13" s="847"/>
      <c r="V13" s="110" t="s">
        <v>362</v>
      </c>
    </row>
    <row r="14" spans="1:24" ht="20.100000000000001" customHeight="1">
      <c r="A14" s="836" t="s">
        <v>551</v>
      </c>
      <c r="B14" s="837"/>
      <c r="C14" s="838">
        <v>21528</v>
      </c>
      <c r="D14" s="838"/>
      <c r="E14" s="838"/>
      <c r="F14" s="358">
        <v>11208</v>
      </c>
      <c r="G14" s="838">
        <v>71343</v>
      </c>
      <c r="H14" s="838"/>
      <c r="I14" s="358">
        <v>35226</v>
      </c>
      <c r="J14" s="838">
        <v>13169</v>
      </c>
      <c r="K14" s="838"/>
      <c r="L14" s="359">
        <v>5689</v>
      </c>
      <c r="M14" s="108"/>
      <c r="N14" s="5" t="s">
        <v>363</v>
      </c>
      <c r="O14" s="37"/>
      <c r="P14" s="111"/>
      <c r="Q14" s="5" t="s">
        <v>364</v>
      </c>
      <c r="R14" s="5" t="s">
        <v>365</v>
      </c>
      <c r="T14" s="5" t="s">
        <v>366</v>
      </c>
      <c r="W14" s="5" t="s">
        <v>367</v>
      </c>
    </row>
    <row r="15" spans="1:24" ht="20.100000000000001" customHeight="1">
      <c r="A15" s="254"/>
      <c r="B15" s="107"/>
      <c r="C15" s="360"/>
      <c r="D15" s="360"/>
      <c r="E15" s="360"/>
      <c r="F15" s="358"/>
      <c r="G15" s="360"/>
      <c r="H15" s="360"/>
      <c r="I15" s="358"/>
      <c r="J15" s="360"/>
      <c r="K15" s="360"/>
      <c r="L15" s="359"/>
      <c r="M15" s="108"/>
      <c r="N15" s="87"/>
      <c r="O15" s="111"/>
      <c r="P15" s="839" t="s">
        <v>368</v>
      </c>
      <c r="Q15" s="839"/>
      <c r="V15" s="112" t="s">
        <v>368</v>
      </c>
    </row>
    <row r="16" spans="1:24" ht="20.100000000000001" customHeight="1" thickBot="1">
      <c r="A16" s="840" t="s">
        <v>552</v>
      </c>
      <c r="B16" s="841"/>
      <c r="C16" s="842">
        <v>21264</v>
      </c>
      <c r="D16" s="842"/>
      <c r="E16" s="842"/>
      <c r="F16" s="361">
        <v>10962</v>
      </c>
      <c r="G16" s="842">
        <v>72687</v>
      </c>
      <c r="H16" s="842"/>
      <c r="I16" s="361">
        <v>35732</v>
      </c>
      <c r="J16" s="842">
        <f>15846</f>
        <v>15846</v>
      </c>
      <c r="K16" s="842"/>
      <c r="L16" s="362">
        <v>6910</v>
      </c>
      <c r="M16" s="108"/>
    </row>
    <row r="17" spans="1:24" ht="20.100000000000001" customHeight="1">
      <c r="A17" s="5" t="s">
        <v>369</v>
      </c>
      <c r="L17" s="7" t="s">
        <v>276</v>
      </c>
      <c r="M17" s="108"/>
      <c r="N17" s="5" t="s">
        <v>370</v>
      </c>
      <c r="O17" s="111"/>
      <c r="P17" s="109" t="s">
        <v>371</v>
      </c>
      <c r="Q17" s="113"/>
      <c r="U17" s="109" t="s">
        <v>372</v>
      </c>
    </row>
    <row r="18" spans="1:24" ht="20.100000000000001" customHeight="1">
      <c r="H18" s="404"/>
      <c r="M18" s="7"/>
      <c r="N18" s="5" t="s">
        <v>373</v>
      </c>
      <c r="O18" s="37"/>
      <c r="S18" s="37" t="s">
        <v>374</v>
      </c>
      <c r="T18" s="5" t="s">
        <v>375</v>
      </c>
      <c r="U18" s="37"/>
      <c r="W18" s="5" t="s">
        <v>376</v>
      </c>
    </row>
    <row r="19" spans="1:24" ht="20.100000000000001" customHeight="1">
      <c r="A19" s="5"/>
      <c r="N19" s="87"/>
      <c r="Q19" s="112" t="s">
        <v>368</v>
      </c>
      <c r="U19" s="835" t="s">
        <v>361</v>
      </c>
      <c r="V19" s="835"/>
    </row>
    <row r="20" spans="1:24" ht="12" customHeight="1">
      <c r="A20" s="5"/>
      <c r="N20" s="87"/>
      <c r="Q20" s="112"/>
      <c r="U20" s="114"/>
      <c r="V20" s="114"/>
    </row>
    <row r="21" spans="1:24" ht="15" customHeight="1" thickBot="1">
      <c r="A21" s="16" t="s">
        <v>377</v>
      </c>
      <c r="M21" s="111"/>
      <c r="X21" s="7" t="s">
        <v>207</v>
      </c>
    </row>
    <row r="22" spans="1:24" ht="30" customHeight="1">
      <c r="A22" s="255" t="s">
        <v>378</v>
      </c>
      <c r="B22" s="256"/>
      <c r="C22" s="257"/>
      <c r="D22" s="684" t="s">
        <v>379</v>
      </c>
      <c r="E22" s="684"/>
      <c r="F22" s="243" t="s">
        <v>380</v>
      </c>
      <c r="G22" s="243" t="s">
        <v>381</v>
      </c>
      <c r="H22" s="243" t="s">
        <v>382</v>
      </c>
      <c r="I22" s="243" t="s">
        <v>383</v>
      </c>
      <c r="J22" s="243" t="s">
        <v>327</v>
      </c>
      <c r="K22" s="243" t="s">
        <v>328</v>
      </c>
      <c r="L22" s="440" t="s">
        <v>329</v>
      </c>
      <c r="M22" s="633"/>
      <c r="N22" s="634" t="s">
        <v>384</v>
      </c>
      <c r="O22" s="243" t="s">
        <v>385</v>
      </c>
      <c r="P22" s="243" t="s">
        <v>386</v>
      </c>
      <c r="Q22" s="243" t="s">
        <v>387</v>
      </c>
      <c r="R22" s="243" t="s">
        <v>388</v>
      </c>
      <c r="S22" s="243" t="s">
        <v>341</v>
      </c>
      <c r="T22" s="243" t="s">
        <v>342</v>
      </c>
      <c r="U22" s="243" t="s">
        <v>343</v>
      </c>
      <c r="V22" s="243" t="s">
        <v>344</v>
      </c>
      <c r="W22" s="243" t="s">
        <v>389</v>
      </c>
      <c r="X22" s="217" t="s">
        <v>390</v>
      </c>
    </row>
    <row r="23" spans="1:24" ht="24" customHeight="1">
      <c r="A23" s="191" t="s">
        <v>391</v>
      </c>
      <c r="B23" s="830" t="s">
        <v>392</v>
      </c>
      <c r="C23" s="830"/>
      <c r="D23" s="831">
        <f>SUM(F23:X23)</f>
        <v>100</v>
      </c>
      <c r="E23" s="831"/>
      <c r="F23" s="396">
        <f>F24/$D$24*100</f>
        <v>8.0071248515655924</v>
      </c>
      <c r="G23" s="396">
        <f t="shared" ref="G23:L23" si="0">G24/$D$24*100</f>
        <v>7.6665069477719214</v>
      </c>
      <c r="H23" s="396">
        <f t="shared" si="0"/>
        <v>7.6800483323264102</v>
      </c>
      <c r="I23" s="396">
        <f t="shared" si="0"/>
        <v>7.463386179454595</v>
      </c>
      <c r="J23" s="396">
        <f t="shared" si="0"/>
        <v>8.0092081414970533</v>
      </c>
      <c r="K23" s="396">
        <f t="shared" si="0"/>
        <v>8.4341992875148435</v>
      </c>
      <c r="L23" s="396">
        <f t="shared" si="0"/>
        <v>8.3446178204620729</v>
      </c>
      <c r="M23" s="115"/>
      <c r="N23" s="135">
        <f>N24/$D$24*100</f>
        <v>7.8029624382825364</v>
      </c>
      <c r="O23" s="135">
        <f t="shared" ref="O23:X23" si="1">O24/$D$24*100</f>
        <v>8.1539967917335066</v>
      </c>
      <c r="P23" s="135">
        <f t="shared" si="1"/>
        <v>6.7644424074498444</v>
      </c>
      <c r="Q23" s="135">
        <f t="shared" si="1"/>
        <v>4.930105622799525</v>
      </c>
      <c r="R23" s="135">
        <f t="shared" si="1"/>
        <v>5.1061436220078749</v>
      </c>
      <c r="S23" s="135">
        <f t="shared" si="1"/>
        <v>4.164496572988063</v>
      </c>
      <c r="T23" s="135">
        <f t="shared" si="1"/>
        <v>2.6780692068915228</v>
      </c>
      <c r="U23" s="135">
        <f t="shared" si="1"/>
        <v>1.8187121101643715</v>
      </c>
      <c r="V23" s="135">
        <f t="shared" si="1"/>
        <v>1.3228891064769484</v>
      </c>
      <c r="W23" s="135">
        <f t="shared" si="1"/>
        <v>1.6510072706818608</v>
      </c>
      <c r="X23" s="439">
        <f t="shared" si="1"/>
        <v>2.0832899314597612E-3</v>
      </c>
    </row>
    <row r="24" spans="1:24" ht="24" customHeight="1">
      <c r="A24" s="191" t="s">
        <v>393</v>
      </c>
      <c r="B24" s="832" t="s">
        <v>394</v>
      </c>
      <c r="C24" s="832"/>
      <c r="D24" s="833">
        <f t="shared" ref="D24:D38" si="2">SUM(F24:X24)</f>
        <v>96002</v>
      </c>
      <c r="E24" s="833"/>
      <c r="F24" s="71">
        <f t="shared" ref="F24:L24" si="3">F25+F26</f>
        <v>7687</v>
      </c>
      <c r="G24" s="71">
        <f t="shared" si="3"/>
        <v>7360</v>
      </c>
      <c r="H24" s="71">
        <f t="shared" si="3"/>
        <v>7373</v>
      </c>
      <c r="I24" s="71">
        <f t="shared" si="3"/>
        <v>7165</v>
      </c>
      <c r="J24" s="71">
        <f t="shared" si="3"/>
        <v>7689</v>
      </c>
      <c r="K24" s="71">
        <f t="shared" si="3"/>
        <v>8097</v>
      </c>
      <c r="L24" s="71">
        <f t="shared" si="3"/>
        <v>8011</v>
      </c>
      <c r="M24" s="71"/>
      <c r="N24" s="71">
        <f t="shared" ref="N24:X24" si="4">N25+N26</f>
        <v>7491</v>
      </c>
      <c r="O24" s="71">
        <f t="shared" si="4"/>
        <v>7828</v>
      </c>
      <c r="P24" s="71">
        <f t="shared" si="4"/>
        <v>6494</v>
      </c>
      <c r="Q24" s="71">
        <f t="shared" si="4"/>
        <v>4733</v>
      </c>
      <c r="R24" s="71">
        <f t="shared" si="4"/>
        <v>4902</v>
      </c>
      <c r="S24" s="71">
        <f t="shared" si="4"/>
        <v>3998</v>
      </c>
      <c r="T24" s="71">
        <f t="shared" si="4"/>
        <v>2571</v>
      </c>
      <c r="U24" s="71">
        <f t="shared" si="4"/>
        <v>1746</v>
      </c>
      <c r="V24" s="71">
        <f t="shared" si="4"/>
        <v>1270</v>
      </c>
      <c r="W24" s="71">
        <f t="shared" si="4"/>
        <v>1585</v>
      </c>
      <c r="X24" s="221">
        <f t="shared" si="4"/>
        <v>2</v>
      </c>
    </row>
    <row r="25" spans="1:24" ht="24" customHeight="1">
      <c r="A25" s="248" t="s">
        <v>49</v>
      </c>
      <c r="B25" s="814" t="s">
        <v>23</v>
      </c>
      <c r="C25" s="814"/>
      <c r="D25" s="828">
        <f t="shared" si="2"/>
        <v>47360</v>
      </c>
      <c r="E25" s="828"/>
      <c r="F25" s="2">
        <v>3931</v>
      </c>
      <c r="G25" s="2">
        <v>3806</v>
      </c>
      <c r="H25" s="2">
        <v>3817</v>
      </c>
      <c r="I25" s="2">
        <v>3626</v>
      </c>
      <c r="J25" s="2">
        <v>3784</v>
      </c>
      <c r="K25" s="2">
        <v>3843</v>
      </c>
      <c r="L25" s="2">
        <v>3909</v>
      </c>
      <c r="M25" s="2"/>
      <c r="N25" s="2">
        <v>3809</v>
      </c>
      <c r="O25" s="2">
        <v>3974</v>
      </c>
      <c r="P25" s="2">
        <v>3328</v>
      </c>
      <c r="Q25" s="2">
        <v>2322</v>
      </c>
      <c r="R25" s="2">
        <v>2461</v>
      </c>
      <c r="S25" s="2">
        <v>1972</v>
      </c>
      <c r="T25" s="2">
        <v>1169</v>
      </c>
      <c r="U25" s="2">
        <v>719</v>
      </c>
      <c r="V25" s="2">
        <v>453</v>
      </c>
      <c r="W25" s="2">
        <v>435</v>
      </c>
      <c r="X25" s="211">
        <v>2</v>
      </c>
    </row>
    <row r="26" spans="1:24" ht="24" customHeight="1">
      <c r="A26" s="192" t="s">
        <v>395</v>
      </c>
      <c r="B26" s="834" t="s">
        <v>24</v>
      </c>
      <c r="C26" s="834"/>
      <c r="D26" s="828">
        <f t="shared" si="2"/>
        <v>48642</v>
      </c>
      <c r="E26" s="828"/>
      <c r="F26" s="2">
        <v>3756</v>
      </c>
      <c r="G26" s="2">
        <v>3554</v>
      </c>
      <c r="H26" s="2">
        <v>3556</v>
      </c>
      <c r="I26" s="2">
        <v>3539</v>
      </c>
      <c r="J26" s="2">
        <v>3905</v>
      </c>
      <c r="K26" s="2">
        <v>4254</v>
      </c>
      <c r="L26" s="2">
        <v>4102</v>
      </c>
      <c r="M26" s="2"/>
      <c r="N26" s="2">
        <v>3682</v>
      </c>
      <c r="O26" s="2">
        <v>3854</v>
      </c>
      <c r="P26" s="2">
        <v>3166</v>
      </c>
      <c r="Q26" s="2">
        <v>2411</v>
      </c>
      <c r="R26" s="2">
        <v>2441</v>
      </c>
      <c r="S26" s="2">
        <v>2026</v>
      </c>
      <c r="T26" s="2">
        <v>1402</v>
      </c>
      <c r="U26" s="2">
        <v>1027</v>
      </c>
      <c r="V26" s="2">
        <v>817</v>
      </c>
      <c r="W26" s="2">
        <v>1150</v>
      </c>
      <c r="X26" s="504">
        <v>0</v>
      </c>
    </row>
    <row r="27" spans="1:24" ht="24" customHeight="1">
      <c r="A27" s="191" t="s">
        <v>391</v>
      </c>
      <c r="B27" s="830" t="s">
        <v>392</v>
      </c>
      <c r="C27" s="830"/>
      <c r="D27" s="831">
        <f t="shared" si="2"/>
        <v>100.00000000000001</v>
      </c>
      <c r="E27" s="831"/>
      <c r="F27" s="396">
        <f>F28/$D$28*100</f>
        <v>7.5262327953744625</v>
      </c>
      <c r="G27" s="396">
        <f t="shared" ref="G27:L27" si="5">G28/$D$28*100</f>
        <v>6.943173632877139</v>
      </c>
      <c r="H27" s="396">
        <f t="shared" si="5"/>
        <v>6.839994549029532</v>
      </c>
      <c r="I27" s="396">
        <f t="shared" si="5"/>
        <v>6.9266260439581835</v>
      </c>
      <c r="J27" s="396">
        <f t="shared" si="5"/>
        <v>6.1985321315241304</v>
      </c>
      <c r="K27" s="396">
        <f t="shared" si="5"/>
        <v>8.5142211925944675</v>
      </c>
      <c r="L27" s="396">
        <f t="shared" si="5"/>
        <v>8.3331711020694232</v>
      </c>
      <c r="M27" s="115"/>
      <c r="N27" s="396">
        <f>N28/$D$28*100</f>
        <v>7.575875562131329</v>
      </c>
      <c r="O27" s="396">
        <f t="shared" ref="O27:X27" si="6">O28/$D$28*100</f>
        <v>6.8672494013666361</v>
      </c>
      <c r="P27" s="396">
        <f t="shared" si="6"/>
        <v>7.1514785757392882</v>
      </c>
      <c r="Q27" s="396">
        <f t="shared" si="6"/>
        <v>6.0067747775809375</v>
      </c>
      <c r="R27" s="396">
        <f t="shared" si="6"/>
        <v>4.4055522027761018</v>
      </c>
      <c r="S27" s="396">
        <f t="shared" si="6"/>
        <v>4.6128837580547826</v>
      </c>
      <c r="T27" s="396">
        <f t="shared" si="6"/>
        <v>3.7163937936807683</v>
      </c>
      <c r="U27" s="396">
        <f t="shared" si="6"/>
        <v>2.382852804329628</v>
      </c>
      <c r="V27" s="396">
        <f t="shared" si="6"/>
        <v>1.5136176922927171</v>
      </c>
      <c r="W27" s="396">
        <f t="shared" si="6"/>
        <v>2.040220374948897</v>
      </c>
      <c r="X27" s="375">
        <f t="shared" si="6"/>
        <v>2.4451496096715792</v>
      </c>
    </row>
    <row r="28" spans="1:24" ht="24" customHeight="1">
      <c r="A28" s="191" t="s">
        <v>393</v>
      </c>
      <c r="B28" s="832" t="s">
        <v>394</v>
      </c>
      <c r="C28" s="832"/>
      <c r="D28" s="833">
        <f t="shared" si="2"/>
        <v>102734</v>
      </c>
      <c r="E28" s="833"/>
      <c r="F28" s="71">
        <f t="shared" ref="F28:L28" si="7">F29+F30</f>
        <v>7732</v>
      </c>
      <c r="G28" s="71">
        <f t="shared" si="7"/>
        <v>7133</v>
      </c>
      <c r="H28" s="71">
        <f t="shared" si="7"/>
        <v>7027</v>
      </c>
      <c r="I28" s="71">
        <f t="shared" si="7"/>
        <v>7116</v>
      </c>
      <c r="J28" s="71">
        <f t="shared" si="7"/>
        <v>6368</v>
      </c>
      <c r="K28" s="71">
        <f t="shared" si="7"/>
        <v>8747</v>
      </c>
      <c r="L28" s="71">
        <f t="shared" si="7"/>
        <v>8561</v>
      </c>
      <c r="M28" s="71"/>
      <c r="N28" s="71">
        <f t="shared" ref="N28:X28" si="8">N29+N30</f>
        <v>7783</v>
      </c>
      <c r="O28" s="71">
        <f t="shared" si="8"/>
        <v>7055</v>
      </c>
      <c r="P28" s="71">
        <f t="shared" si="8"/>
        <v>7347</v>
      </c>
      <c r="Q28" s="71">
        <f t="shared" si="8"/>
        <v>6171</v>
      </c>
      <c r="R28" s="71">
        <f t="shared" si="8"/>
        <v>4526</v>
      </c>
      <c r="S28" s="71">
        <f t="shared" si="8"/>
        <v>4739</v>
      </c>
      <c r="T28" s="71">
        <f t="shared" si="8"/>
        <v>3818</v>
      </c>
      <c r="U28" s="71">
        <f t="shared" si="8"/>
        <v>2448</v>
      </c>
      <c r="V28" s="71">
        <f t="shared" si="8"/>
        <v>1555</v>
      </c>
      <c r="W28" s="71">
        <f t="shared" si="8"/>
        <v>2096</v>
      </c>
      <c r="X28" s="221">
        <f t="shared" si="8"/>
        <v>2512</v>
      </c>
    </row>
    <row r="29" spans="1:24" ht="24" customHeight="1">
      <c r="A29" s="191">
        <v>12</v>
      </c>
      <c r="B29" s="814" t="s">
        <v>23</v>
      </c>
      <c r="C29" s="814"/>
      <c r="D29" s="828">
        <f t="shared" si="2"/>
        <v>50440</v>
      </c>
      <c r="E29" s="828"/>
      <c r="F29" s="2">
        <v>4013</v>
      </c>
      <c r="G29" s="2">
        <v>3646</v>
      </c>
      <c r="H29" s="2">
        <v>3627</v>
      </c>
      <c r="I29" s="2">
        <v>3646</v>
      </c>
      <c r="J29" s="2">
        <v>3060</v>
      </c>
      <c r="K29" s="2">
        <v>4182</v>
      </c>
      <c r="L29" s="2">
        <v>4124</v>
      </c>
      <c r="M29" s="2"/>
      <c r="N29" s="2">
        <v>3850</v>
      </c>
      <c r="O29" s="2">
        <v>3548</v>
      </c>
      <c r="P29" s="2">
        <v>3621</v>
      </c>
      <c r="Q29" s="2">
        <v>3094</v>
      </c>
      <c r="R29" s="2">
        <v>2210</v>
      </c>
      <c r="S29" s="2">
        <v>2325</v>
      </c>
      <c r="T29" s="2">
        <v>1868</v>
      </c>
      <c r="U29" s="2">
        <v>1096</v>
      </c>
      <c r="V29" s="2">
        <v>611</v>
      </c>
      <c r="W29" s="2">
        <v>590</v>
      </c>
      <c r="X29" s="211">
        <v>1329</v>
      </c>
    </row>
    <row r="30" spans="1:24" ht="24" customHeight="1">
      <c r="A30" s="192" t="s">
        <v>395</v>
      </c>
      <c r="B30" s="834" t="s">
        <v>24</v>
      </c>
      <c r="C30" s="834"/>
      <c r="D30" s="828">
        <f t="shared" si="2"/>
        <v>52294</v>
      </c>
      <c r="E30" s="828"/>
      <c r="F30" s="2">
        <v>3719</v>
      </c>
      <c r="G30" s="2">
        <v>3487</v>
      </c>
      <c r="H30" s="2">
        <v>3400</v>
      </c>
      <c r="I30" s="2">
        <v>3470</v>
      </c>
      <c r="J30" s="2">
        <v>3308</v>
      </c>
      <c r="K30" s="2">
        <v>4565</v>
      </c>
      <c r="L30" s="2">
        <v>4437</v>
      </c>
      <c r="M30" s="2"/>
      <c r="N30" s="2">
        <v>3933</v>
      </c>
      <c r="O30" s="2">
        <v>3507</v>
      </c>
      <c r="P30" s="2">
        <v>3726</v>
      </c>
      <c r="Q30" s="2">
        <v>3077</v>
      </c>
      <c r="R30" s="2">
        <v>2316</v>
      </c>
      <c r="S30" s="2">
        <v>2414</v>
      </c>
      <c r="T30" s="2">
        <v>1950</v>
      </c>
      <c r="U30" s="2">
        <v>1352</v>
      </c>
      <c r="V30" s="2">
        <v>944</v>
      </c>
      <c r="W30" s="2">
        <v>1506</v>
      </c>
      <c r="X30" s="211">
        <v>1183</v>
      </c>
    </row>
    <row r="31" spans="1:24" ht="24" customHeight="1">
      <c r="A31" s="191" t="s">
        <v>391</v>
      </c>
      <c r="B31" s="830" t="s">
        <v>392</v>
      </c>
      <c r="C31" s="830"/>
      <c r="D31" s="831">
        <f>SUM(F31:X31)</f>
        <v>100.00000000000001</v>
      </c>
      <c r="E31" s="831"/>
      <c r="F31" s="396">
        <f>F32/$D$32*100</f>
        <v>6.9090703354109895</v>
      </c>
      <c r="G31" s="396">
        <f t="shared" ref="G31:L31" si="9">G32/$D$32*100</f>
        <v>6.8770096842025854</v>
      </c>
      <c r="H31" s="396">
        <f t="shared" si="9"/>
        <v>6.5139699572838969</v>
      </c>
      <c r="I31" s="396">
        <f t="shared" si="9"/>
        <v>6.4121302416807326</v>
      </c>
      <c r="J31" s="396">
        <f t="shared" si="9"/>
        <v>6.0868089279484012</v>
      </c>
      <c r="K31" s="396">
        <f t="shared" si="9"/>
        <v>7.2598515780441115</v>
      </c>
      <c r="L31" s="396">
        <f t="shared" si="9"/>
        <v>8.9562372111005288</v>
      </c>
      <c r="M31" s="115"/>
      <c r="N31" s="396">
        <f>N32/$D$32*100</f>
        <v>7.9189808484757043</v>
      </c>
      <c r="O31" s="396">
        <f t="shared" ref="O31:X31" si="10">O32/$D$32*100</f>
        <v>7.0976624013427765</v>
      </c>
      <c r="P31" s="396">
        <f t="shared" si="10"/>
        <v>6.5601750134371848</v>
      </c>
      <c r="Q31" s="396">
        <f t="shared" si="10"/>
        <v>6.9062414544220125</v>
      </c>
      <c r="R31" s="396">
        <f t="shared" si="10"/>
        <v>5.7869475431168613</v>
      </c>
      <c r="S31" s="396">
        <f t="shared" si="10"/>
        <v>4.2885835792888187</v>
      </c>
      <c r="T31" s="396">
        <f t="shared" si="10"/>
        <v>4.3762788899471001</v>
      </c>
      <c r="U31" s="396">
        <f t="shared" si="10"/>
        <v>3.3776839008382917</v>
      </c>
      <c r="V31" s="396">
        <f t="shared" si="10"/>
        <v>2.1131740987656649</v>
      </c>
      <c r="W31" s="396">
        <f t="shared" si="10"/>
        <v>2.5507076917274092</v>
      </c>
      <c r="X31" s="375">
        <f t="shared" si="10"/>
        <v>8.4866429669303804E-3</v>
      </c>
    </row>
    <row r="32" spans="1:24" ht="24" customHeight="1">
      <c r="A32" s="191" t="s">
        <v>393</v>
      </c>
      <c r="B32" s="832" t="s">
        <v>394</v>
      </c>
      <c r="C32" s="832"/>
      <c r="D32" s="833">
        <f t="shared" si="2"/>
        <v>106049</v>
      </c>
      <c r="E32" s="833"/>
      <c r="F32" s="71">
        <f t="shared" ref="F32:L32" si="11">F33+F34</f>
        <v>7327</v>
      </c>
      <c r="G32" s="71">
        <f t="shared" si="11"/>
        <v>7293</v>
      </c>
      <c r="H32" s="71">
        <f t="shared" si="11"/>
        <v>6908</v>
      </c>
      <c r="I32" s="71">
        <f t="shared" si="11"/>
        <v>6800</v>
      </c>
      <c r="J32" s="71">
        <f t="shared" si="11"/>
        <v>6455</v>
      </c>
      <c r="K32" s="71">
        <f t="shared" si="11"/>
        <v>7699</v>
      </c>
      <c r="L32" s="71">
        <f t="shared" si="11"/>
        <v>9498</v>
      </c>
      <c r="M32" s="71"/>
      <c r="N32" s="71">
        <f t="shared" ref="N32:X32" si="12">N33+N34</f>
        <v>8398</v>
      </c>
      <c r="O32" s="71">
        <f t="shared" si="12"/>
        <v>7527</v>
      </c>
      <c r="P32" s="71">
        <f t="shared" si="12"/>
        <v>6957</v>
      </c>
      <c r="Q32" s="71">
        <f t="shared" si="12"/>
        <v>7324</v>
      </c>
      <c r="R32" s="71">
        <f t="shared" si="12"/>
        <v>6137</v>
      </c>
      <c r="S32" s="71">
        <f t="shared" si="12"/>
        <v>4548</v>
      </c>
      <c r="T32" s="71">
        <f t="shared" si="12"/>
        <v>4641</v>
      </c>
      <c r="U32" s="71">
        <f t="shared" si="12"/>
        <v>3582</v>
      </c>
      <c r="V32" s="71">
        <f t="shared" si="12"/>
        <v>2241</v>
      </c>
      <c r="W32" s="71">
        <f t="shared" si="12"/>
        <v>2705</v>
      </c>
      <c r="X32" s="221">
        <f t="shared" si="12"/>
        <v>9</v>
      </c>
    </row>
    <row r="33" spans="1:24" ht="24" customHeight="1">
      <c r="A33" s="191">
        <v>17</v>
      </c>
      <c r="B33" s="814" t="s">
        <v>23</v>
      </c>
      <c r="C33" s="814"/>
      <c r="D33" s="828">
        <f t="shared" si="2"/>
        <v>52128</v>
      </c>
      <c r="E33" s="828"/>
      <c r="F33" s="2">
        <v>3811</v>
      </c>
      <c r="G33" s="2">
        <v>3814</v>
      </c>
      <c r="H33" s="2">
        <v>3583</v>
      </c>
      <c r="I33" s="2">
        <v>3479</v>
      </c>
      <c r="J33" s="2">
        <v>3196</v>
      </c>
      <c r="K33" s="2">
        <v>3739</v>
      </c>
      <c r="L33" s="2">
        <v>4660</v>
      </c>
      <c r="M33" s="2"/>
      <c r="N33" s="2">
        <v>4053</v>
      </c>
      <c r="O33" s="2">
        <v>3688</v>
      </c>
      <c r="P33" s="2">
        <v>3527</v>
      </c>
      <c r="Q33" s="2">
        <v>3596</v>
      </c>
      <c r="R33" s="2">
        <v>3086</v>
      </c>
      <c r="S33" s="2">
        <v>2202</v>
      </c>
      <c r="T33" s="2">
        <v>2241</v>
      </c>
      <c r="U33" s="2">
        <v>1692</v>
      </c>
      <c r="V33" s="2">
        <v>951</v>
      </c>
      <c r="W33" s="2">
        <v>805</v>
      </c>
      <c r="X33" s="211">
        <v>5</v>
      </c>
    </row>
    <row r="34" spans="1:24" ht="24" customHeight="1">
      <c r="A34" s="191" t="s">
        <v>395</v>
      </c>
      <c r="B34" s="814" t="s">
        <v>24</v>
      </c>
      <c r="C34" s="814"/>
      <c r="D34" s="828">
        <f t="shared" si="2"/>
        <v>53921</v>
      </c>
      <c r="E34" s="828"/>
      <c r="F34" s="2">
        <v>3516</v>
      </c>
      <c r="G34" s="2">
        <v>3479</v>
      </c>
      <c r="H34" s="2">
        <v>3325</v>
      </c>
      <c r="I34" s="2">
        <v>3321</v>
      </c>
      <c r="J34" s="2">
        <v>3259</v>
      </c>
      <c r="K34" s="2">
        <v>3960</v>
      </c>
      <c r="L34" s="2">
        <v>4838</v>
      </c>
      <c r="M34" s="2"/>
      <c r="N34" s="2">
        <v>4345</v>
      </c>
      <c r="O34" s="2">
        <v>3839</v>
      </c>
      <c r="P34" s="2">
        <v>3430</v>
      </c>
      <c r="Q34" s="2">
        <v>3728</v>
      </c>
      <c r="R34" s="2">
        <v>3051</v>
      </c>
      <c r="S34" s="2">
        <v>2346</v>
      </c>
      <c r="T34" s="2">
        <v>2400</v>
      </c>
      <c r="U34" s="2">
        <v>1890</v>
      </c>
      <c r="V34" s="2">
        <v>1290</v>
      </c>
      <c r="W34" s="2">
        <v>1900</v>
      </c>
      <c r="X34" s="211">
        <v>4</v>
      </c>
    </row>
    <row r="35" spans="1:24" ht="24" customHeight="1">
      <c r="A35" s="233" t="s">
        <v>391</v>
      </c>
      <c r="B35" s="830" t="s">
        <v>392</v>
      </c>
      <c r="C35" s="830"/>
      <c r="D35" s="831">
        <f>SUM(F35:X35)</f>
        <v>100.00000000000001</v>
      </c>
      <c r="E35" s="831"/>
      <c r="F35" s="396">
        <f>F36/$D$36*100</f>
        <v>6.5074172413480627</v>
      </c>
      <c r="G35" s="396">
        <f t="shared" ref="G35:L35" si="13">G36/$D$36*100</f>
        <v>6.3424889670234075</v>
      </c>
      <c r="H35" s="396">
        <f t="shared" si="13"/>
        <v>6.4195159083288784</v>
      </c>
      <c r="I35" s="396">
        <f t="shared" si="13"/>
        <v>6.0579423838479034</v>
      </c>
      <c r="J35" s="396">
        <f t="shared" si="13"/>
        <v>5.3375139328143835</v>
      </c>
      <c r="K35" s="396">
        <f t="shared" si="13"/>
        <v>6.5916937771293416</v>
      </c>
      <c r="L35" s="396">
        <f t="shared" si="13"/>
        <v>7.2785928537122455</v>
      </c>
      <c r="M35" s="115">
        <f>M36/$D$36</f>
        <v>0</v>
      </c>
      <c r="N35" s="396">
        <f>N36/$D$36*100</f>
        <v>8.5137425125282054</v>
      </c>
      <c r="O35" s="396">
        <f t="shared" ref="O35:X35" si="14">O36/$D$36*100</f>
        <v>7.3746499805167147</v>
      </c>
      <c r="P35" s="396">
        <f t="shared" si="14"/>
        <v>6.6052867667714841</v>
      </c>
      <c r="Q35" s="396">
        <f t="shared" si="14"/>
        <v>6.2038404726735603</v>
      </c>
      <c r="R35" s="396">
        <f t="shared" si="14"/>
        <v>6.4467018876131617</v>
      </c>
      <c r="S35" s="396">
        <f t="shared" si="14"/>
        <v>5.4589446402841846</v>
      </c>
      <c r="T35" s="396">
        <f t="shared" si="14"/>
        <v>3.9555599858632906</v>
      </c>
      <c r="U35" s="396">
        <f t="shared" si="14"/>
        <v>4.019900136836096</v>
      </c>
      <c r="V35" s="396">
        <f t="shared" si="14"/>
        <v>2.9732399343911702</v>
      </c>
      <c r="W35" s="396">
        <f t="shared" si="14"/>
        <v>3.4109342008681391</v>
      </c>
      <c r="X35" s="375">
        <f t="shared" si="14"/>
        <v>0.50203441744977384</v>
      </c>
    </row>
    <row r="36" spans="1:24" ht="24" customHeight="1">
      <c r="A36" s="191" t="s">
        <v>393</v>
      </c>
      <c r="B36" s="832" t="s">
        <v>394</v>
      </c>
      <c r="C36" s="832"/>
      <c r="D36" s="833">
        <f t="shared" si="2"/>
        <v>110351</v>
      </c>
      <c r="E36" s="833"/>
      <c r="F36" s="116">
        <f t="shared" ref="F36:L36" si="15">SUM(F37:F38)</f>
        <v>7181</v>
      </c>
      <c r="G36" s="71">
        <f t="shared" si="15"/>
        <v>6999</v>
      </c>
      <c r="H36" s="71">
        <f t="shared" si="15"/>
        <v>7084</v>
      </c>
      <c r="I36" s="71">
        <f t="shared" si="15"/>
        <v>6685</v>
      </c>
      <c r="J36" s="71">
        <f t="shared" si="15"/>
        <v>5890</v>
      </c>
      <c r="K36" s="71">
        <f t="shared" si="15"/>
        <v>7274</v>
      </c>
      <c r="L36" s="71">
        <f t="shared" si="15"/>
        <v>8032</v>
      </c>
      <c r="M36" s="71"/>
      <c r="N36" s="71">
        <f t="shared" ref="N36:X36" si="16">SUM(N37:N38)</f>
        <v>9395</v>
      </c>
      <c r="O36" s="71">
        <f t="shared" si="16"/>
        <v>8138</v>
      </c>
      <c r="P36" s="71">
        <f t="shared" si="16"/>
        <v>7289</v>
      </c>
      <c r="Q36" s="71">
        <f t="shared" si="16"/>
        <v>6846</v>
      </c>
      <c r="R36" s="71">
        <f t="shared" si="16"/>
        <v>7114</v>
      </c>
      <c r="S36" s="71">
        <f t="shared" si="16"/>
        <v>6024</v>
      </c>
      <c r="T36" s="71">
        <f t="shared" si="16"/>
        <v>4365</v>
      </c>
      <c r="U36" s="71">
        <f t="shared" si="16"/>
        <v>4436</v>
      </c>
      <c r="V36" s="71">
        <f t="shared" si="16"/>
        <v>3281</v>
      </c>
      <c r="W36" s="71">
        <f t="shared" si="16"/>
        <v>3764</v>
      </c>
      <c r="X36" s="221">
        <f t="shared" si="16"/>
        <v>554</v>
      </c>
    </row>
    <row r="37" spans="1:24" ht="24" customHeight="1">
      <c r="A37" s="248" t="s">
        <v>320</v>
      </c>
      <c r="B37" s="814" t="s">
        <v>23</v>
      </c>
      <c r="C37" s="814"/>
      <c r="D37" s="828">
        <f>SUM(F37:X37)</f>
        <v>53948</v>
      </c>
      <c r="E37" s="828"/>
      <c r="F37" s="2">
        <v>3678</v>
      </c>
      <c r="G37" s="2">
        <v>3637</v>
      </c>
      <c r="H37" s="2">
        <v>3647</v>
      </c>
      <c r="I37" s="2">
        <v>3405</v>
      </c>
      <c r="J37" s="2">
        <v>2967</v>
      </c>
      <c r="K37" s="2">
        <v>3500</v>
      </c>
      <c r="L37" s="2">
        <v>3893</v>
      </c>
      <c r="M37" s="2"/>
      <c r="N37" s="2">
        <v>4653</v>
      </c>
      <c r="O37" s="2">
        <v>3925</v>
      </c>
      <c r="P37" s="2">
        <v>3525</v>
      </c>
      <c r="Q37" s="2">
        <v>3420</v>
      </c>
      <c r="R37" s="2">
        <v>3427</v>
      </c>
      <c r="S37" s="2">
        <v>3017</v>
      </c>
      <c r="T37" s="2">
        <v>2094</v>
      </c>
      <c r="U37" s="2">
        <v>2100</v>
      </c>
      <c r="V37" s="2">
        <v>1477</v>
      </c>
      <c r="W37" s="2">
        <v>1239</v>
      </c>
      <c r="X37" s="211">
        <v>344</v>
      </c>
    </row>
    <row r="38" spans="1:24" ht="24" customHeight="1" thickBot="1">
      <c r="A38" s="259" t="s">
        <v>395</v>
      </c>
      <c r="B38" s="811" t="s">
        <v>24</v>
      </c>
      <c r="C38" s="811"/>
      <c r="D38" s="829">
        <f t="shared" si="2"/>
        <v>56403</v>
      </c>
      <c r="E38" s="829"/>
      <c r="F38" s="195">
        <v>3503</v>
      </c>
      <c r="G38" s="195">
        <v>3362</v>
      </c>
      <c r="H38" s="195">
        <v>3437</v>
      </c>
      <c r="I38" s="195">
        <v>3280</v>
      </c>
      <c r="J38" s="195">
        <v>2923</v>
      </c>
      <c r="K38" s="195">
        <v>3774</v>
      </c>
      <c r="L38" s="195">
        <v>4139</v>
      </c>
      <c r="M38" s="195"/>
      <c r="N38" s="195">
        <v>4742</v>
      </c>
      <c r="O38" s="195">
        <v>4213</v>
      </c>
      <c r="P38" s="195">
        <v>3764</v>
      </c>
      <c r="Q38" s="195">
        <v>3426</v>
      </c>
      <c r="R38" s="195">
        <v>3687</v>
      </c>
      <c r="S38" s="195">
        <v>3007</v>
      </c>
      <c r="T38" s="195">
        <v>2271</v>
      </c>
      <c r="U38" s="195">
        <v>2336</v>
      </c>
      <c r="V38" s="195">
        <v>1804</v>
      </c>
      <c r="W38" s="195">
        <v>2525</v>
      </c>
      <c r="X38" s="260">
        <v>210</v>
      </c>
    </row>
    <row r="39" spans="1:24" ht="16.5" customHeight="1">
      <c r="W39" s="505"/>
      <c r="X39" s="506" t="s">
        <v>646</v>
      </c>
    </row>
  </sheetData>
  <sheetProtection selectLockedCells="1" selectUnlockedCells="1"/>
  <mergeCells count="90">
    <mergeCell ref="B38:C38"/>
    <mergeCell ref="D38:E38"/>
    <mergeCell ref="B35:C35"/>
    <mergeCell ref="D35:E35"/>
    <mergeCell ref="B36:C36"/>
    <mergeCell ref="D36:E36"/>
    <mergeCell ref="B37:C37"/>
    <mergeCell ref="D37:E37"/>
    <mergeCell ref="B33:C33"/>
    <mergeCell ref="D33:E33"/>
    <mergeCell ref="B34:C34"/>
    <mergeCell ref="D34:E34"/>
    <mergeCell ref="B32:C32"/>
    <mergeCell ref="D32:E32"/>
    <mergeCell ref="B31:C31"/>
    <mergeCell ref="B28:C28"/>
    <mergeCell ref="D28:E28"/>
    <mergeCell ref="B29:C29"/>
    <mergeCell ref="D29:E29"/>
    <mergeCell ref="D31:E31"/>
    <mergeCell ref="B30:C30"/>
    <mergeCell ref="D30:E30"/>
    <mergeCell ref="B27:C27"/>
    <mergeCell ref="D27:E27"/>
    <mergeCell ref="D22:E22"/>
    <mergeCell ref="B23:C23"/>
    <mergeCell ref="D23:E23"/>
    <mergeCell ref="B25:C25"/>
    <mergeCell ref="D25:E25"/>
    <mergeCell ref="B26:C26"/>
    <mergeCell ref="D26:E26"/>
    <mergeCell ref="U19:V19"/>
    <mergeCell ref="B24:C24"/>
    <mergeCell ref="D24:E24"/>
    <mergeCell ref="P15:Q15"/>
    <mergeCell ref="J16:K16"/>
    <mergeCell ref="A16:B16"/>
    <mergeCell ref="C16:E16"/>
    <mergeCell ref="G16:H16"/>
    <mergeCell ref="W10:X10"/>
    <mergeCell ref="J14:K14"/>
    <mergeCell ref="C14:E14"/>
    <mergeCell ref="S11:T11"/>
    <mergeCell ref="U11:V11"/>
    <mergeCell ref="Q10:R10"/>
    <mergeCell ref="U10:V10"/>
    <mergeCell ref="S10:T10"/>
    <mergeCell ref="W11:X11"/>
    <mergeCell ref="N11:P11"/>
    <mergeCell ref="Q11:R11"/>
    <mergeCell ref="P13:Q13"/>
    <mergeCell ref="A14:B14"/>
    <mergeCell ref="A12:B12"/>
    <mergeCell ref="C12:E12"/>
    <mergeCell ref="G12:H12"/>
    <mergeCell ref="J12:K12"/>
    <mergeCell ref="G14:H14"/>
    <mergeCell ref="W7:X7"/>
    <mergeCell ref="W9:X9"/>
    <mergeCell ref="C8:F8"/>
    <mergeCell ref="G8:I8"/>
    <mergeCell ref="J8:L8"/>
    <mergeCell ref="U8:V8"/>
    <mergeCell ref="C9:E9"/>
    <mergeCell ref="G9:H9"/>
    <mergeCell ref="J9:K9"/>
    <mergeCell ref="N9:P9"/>
    <mergeCell ref="N8:P8"/>
    <mergeCell ref="Q9:R9"/>
    <mergeCell ref="A10:B10"/>
    <mergeCell ref="C10:E10"/>
    <mergeCell ref="G10:H10"/>
    <mergeCell ref="J10:K10"/>
    <mergeCell ref="N10:P10"/>
    <mergeCell ref="N1:X1"/>
    <mergeCell ref="A4:L4"/>
    <mergeCell ref="N4:X4"/>
    <mergeCell ref="A7:B9"/>
    <mergeCell ref="C7:F7"/>
    <mergeCell ref="G7:I7"/>
    <mergeCell ref="J7:L7"/>
    <mergeCell ref="N7:P7"/>
    <mergeCell ref="Q7:R7"/>
    <mergeCell ref="S7:T7"/>
    <mergeCell ref="U9:V9"/>
    <mergeCell ref="S9:T9"/>
    <mergeCell ref="Q8:R8"/>
    <mergeCell ref="S8:T8"/>
    <mergeCell ref="W8:X8"/>
    <mergeCell ref="U7:V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&amp;R&amp;"ＭＳ 明朝,標準"&amp;10人　口</oddHeader>
    <oddFooter>&amp;C&amp;"ＭＳ 明朝,標準"&amp;10&amp;A</oddFooter>
  </headerFooter>
  <colBreaks count="1" manualBreakCount="1">
    <brk id="13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40"/>
  <sheetViews>
    <sheetView view="pageBreakPreview" topLeftCell="A22" zoomScaleNormal="100" zoomScaleSheetLayoutView="100" workbookViewId="0">
      <selection activeCell="B38" sqref="B38"/>
    </sheetView>
  </sheetViews>
  <sheetFormatPr defaultRowHeight="18.95" customHeight="1"/>
  <cols>
    <col min="1" max="2" width="9.625" style="6" customWidth="1"/>
    <col min="3" max="8" width="11.875" style="6" customWidth="1"/>
    <col min="9" max="9" width="0.875" style="6" customWidth="1"/>
    <col min="10" max="10" width="10.875" style="6" customWidth="1"/>
    <col min="11" max="17" width="11.375" style="6" customWidth="1"/>
    <col min="18" max="16384" width="9" style="6"/>
  </cols>
  <sheetData>
    <row r="1" spans="1:17" ht="5.0999999999999996" customHeight="1">
      <c r="A1" s="57"/>
      <c r="B1" s="5"/>
      <c r="J1" s="798"/>
      <c r="K1" s="798"/>
      <c r="L1" s="798"/>
      <c r="M1" s="798"/>
      <c r="N1" s="798"/>
      <c r="O1" s="798"/>
      <c r="P1" s="798"/>
      <c r="Q1" s="798"/>
    </row>
    <row r="2" spans="1:17" ht="15" customHeight="1">
      <c r="A2" s="57" t="s">
        <v>396</v>
      </c>
      <c r="B2" s="5"/>
      <c r="J2" s="61"/>
      <c r="K2" s="61"/>
      <c r="L2" s="61"/>
      <c r="M2" s="61"/>
      <c r="N2" s="61"/>
      <c r="O2" s="61"/>
      <c r="P2" s="61"/>
      <c r="Q2" s="61"/>
    </row>
    <row r="3" spans="1:17" ht="5.0999999999999996" customHeight="1">
      <c r="A3" s="57"/>
      <c r="B3" s="5"/>
      <c r="J3" s="61"/>
      <c r="K3" s="61"/>
      <c r="L3" s="61"/>
      <c r="M3" s="61"/>
      <c r="N3" s="61"/>
      <c r="O3" s="61"/>
      <c r="P3" s="61"/>
      <c r="Q3" s="61"/>
    </row>
    <row r="4" spans="1:17" s="104" customFormat="1" ht="48.75" customHeight="1">
      <c r="A4" s="860" t="s">
        <v>587</v>
      </c>
      <c r="B4" s="860"/>
      <c r="C4" s="860"/>
      <c r="D4" s="860"/>
      <c r="E4" s="860"/>
      <c r="F4" s="860"/>
      <c r="G4" s="860"/>
      <c r="H4" s="860"/>
      <c r="I4" s="117"/>
      <c r="J4" s="896" t="s">
        <v>17</v>
      </c>
      <c r="K4" s="896"/>
      <c r="L4" s="896"/>
      <c r="M4" s="896"/>
      <c r="N4" s="896"/>
      <c r="O4" s="896"/>
      <c r="P4" s="896"/>
      <c r="Q4" s="896"/>
    </row>
    <row r="5" spans="1:17" ht="15" customHeight="1">
      <c r="A5" s="5"/>
      <c r="J5" s="798"/>
      <c r="K5" s="798"/>
      <c r="L5" s="798"/>
      <c r="M5" s="798"/>
      <c r="N5" s="798"/>
      <c r="O5" s="798"/>
      <c r="P5" s="798"/>
      <c r="Q5" s="798"/>
    </row>
    <row r="6" spans="1:17" ht="15" customHeight="1" thickBot="1">
      <c r="A6" s="5" t="s">
        <v>397</v>
      </c>
      <c r="J6" s="1"/>
      <c r="K6" s="1"/>
      <c r="L6" s="1"/>
      <c r="M6" s="1"/>
      <c r="N6" s="1"/>
      <c r="O6" s="1"/>
      <c r="P6" s="1"/>
      <c r="Q6" s="7" t="s">
        <v>398</v>
      </c>
    </row>
    <row r="7" spans="1:17" ht="15" customHeight="1">
      <c r="A7" s="882" t="s">
        <v>508</v>
      </c>
      <c r="B7" s="824"/>
      <c r="C7" s="784" t="s">
        <v>509</v>
      </c>
      <c r="D7" s="784"/>
      <c r="E7" s="784"/>
      <c r="F7" s="784"/>
      <c r="G7" s="889" t="s">
        <v>543</v>
      </c>
      <c r="H7" s="890"/>
      <c r="I7" s="635" t="s">
        <v>544</v>
      </c>
      <c r="J7" s="824" t="s">
        <v>697</v>
      </c>
      <c r="K7" s="822" t="s">
        <v>265</v>
      </c>
      <c r="L7" s="823" t="s">
        <v>510</v>
      </c>
      <c r="M7" s="824"/>
      <c r="N7" s="822" t="s">
        <v>399</v>
      </c>
      <c r="O7" s="822"/>
      <c r="P7" s="822" t="s">
        <v>400</v>
      </c>
      <c r="Q7" s="901"/>
    </row>
    <row r="8" spans="1:17" ht="15" customHeight="1">
      <c r="A8" s="819"/>
      <c r="B8" s="859"/>
      <c r="C8" s="781"/>
      <c r="D8" s="781"/>
      <c r="E8" s="781"/>
      <c r="F8" s="781"/>
      <c r="G8" s="891"/>
      <c r="H8" s="892"/>
      <c r="I8" s="636"/>
      <c r="J8" s="826"/>
      <c r="K8" s="902"/>
      <c r="L8" s="820"/>
      <c r="M8" s="859"/>
      <c r="N8" s="893" t="s">
        <v>512</v>
      </c>
      <c r="O8" s="894"/>
      <c r="P8" s="899" t="s">
        <v>511</v>
      </c>
      <c r="Q8" s="900"/>
    </row>
    <row r="9" spans="1:17" ht="24.95" customHeight="1">
      <c r="A9" s="883"/>
      <c r="B9" s="826"/>
      <c r="C9" s="781" t="s">
        <v>27</v>
      </c>
      <c r="D9" s="781"/>
      <c r="E9" s="781" t="s">
        <v>28</v>
      </c>
      <c r="F9" s="781"/>
      <c r="G9" s="807" t="s">
        <v>401</v>
      </c>
      <c r="H9" s="807"/>
      <c r="I9" s="10"/>
      <c r="J9" s="106" t="s">
        <v>402</v>
      </c>
      <c r="K9" s="9" t="s">
        <v>403</v>
      </c>
      <c r="L9" s="34" t="s">
        <v>404</v>
      </c>
      <c r="M9" s="118"/>
      <c r="N9" s="825" t="s">
        <v>405</v>
      </c>
      <c r="O9" s="826"/>
      <c r="P9" s="897" t="s">
        <v>406</v>
      </c>
      <c r="Q9" s="898"/>
    </row>
    <row r="10" spans="1:17" ht="24.95" customHeight="1">
      <c r="A10" s="903" t="s">
        <v>407</v>
      </c>
      <c r="B10" s="904"/>
      <c r="C10" s="888">
        <v>893275</v>
      </c>
      <c r="D10" s="888"/>
      <c r="E10" s="888">
        <v>930751</v>
      </c>
      <c r="F10" s="888"/>
      <c r="G10" s="888">
        <f>E10-C10</f>
        <v>37476</v>
      </c>
      <c r="H10" s="888"/>
      <c r="I10" s="119"/>
      <c r="J10" s="196">
        <f>G10/C10*100</f>
        <v>4.195348576866027</v>
      </c>
      <c r="K10" s="197">
        <v>130.91999999999999</v>
      </c>
      <c r="L10" s="871">
        <f>E10/K10</f>
        <v>7109.3110296364202</v>
      </c>
      <c r="M10" s="871"/>
      <c r="N10" s="895">
        <f>(E10/1392818)*100</f>
        <v>66.825026672544439</v>
      </c>
      <c r="O10" s="895"/>
      <c r="P10" s="874">
        <f>(K10/2276.15)*100</f>
        <v>5.7518177624497495</v>
      </c>
      <c r="Q10" s="875"/>
    </row>
    <row r="11" spans="1:17" ht="24.95" customHeight="1">
      <c r="A11" s="869" t="s">
        <v>408</v>
      </c>
      <c r="B11" s="870"/>
      <c r="C11" s="871">
        <v>308007</v>
      </c>
      <c r="D11" s="871"/>
      <c r="E11" s="871">
        <v>314951</v>
      </c>
      <c r="F11" s="871"/>
      <c r="G11" s="871">
        <f t="shared" ref="G11:G20" si="0">E11-C11</f>
        <v>6944</v>
      </c>
      <c r="H11" s="871"/>
      <c r="I11" s="119"/>
      <c r="J11" s="196">
        <f>G11/C11*100</f>
        <v>2.2544942160405443</v>
      </c>
      <c r="K11" s="196">
        <v>38.380000000000003</v>
      </c>
      <c r="L11" s="871">
        <f>E11/K11</f>
        <v>8206.1229807191248</v>
      </c>
      <c r="M11" s="871"/>
      <c r="N11" s="876">
        <f>(E11/315954)*100</f>
        <v>99.682548725447376</v>
      </c>
      <c r="O11" s="876"/>
      <c r="P11" s="874">
        <f>(K11/39.24)*100</f>
        <v>97.808358817533133</v>
      </c>
      <c r="Q11" s="875"/>
    </row>
    <row r="12" spans="1:17" ht="24.95" customHeight="1">
      <c r="A12" s="869" t="s">
        <v>219</v>
      </c>
      <c r="B12" s="870"/>
      <c r="C12" s="871">
        <v>88908</v>
      </c>
      <c r="D12" s="871"/>
      <c r="E12" s="871">
        <v>91119</v>
      </c>
      <c r="F12" s="871"/>
      <c r="G12" s="871">
        <f t="shared" si="0"/>
        <v>2211</v>
      </c>
      <c r="H12" s="871"/>
      <c r="I12" s="119"/>
      <c r="J12" s="196">
        <f t="shared" ref="J12:J19" si="1">G12/C12*100</f>
        <v>2.4868403293291945</v>
      </c>
      <c r="K12" s="196">
        <v>12.68</v>
      </c>
      <c r="L12" s="871">
        <f>E12/K12</f>
        <v>7186.0410094637227</v>
      </c>
      <c r="M12" s="871"/>
      <c r="N12" s="876">
        <f>(E12/91928)*100</f>
        <v>99.119963449656254</v>
      </c>
      <c r="O12" s="876"/>
      <c r="P12" s="874">
        <f>(K12/19.7)*100</f>
        <v>64.365482233502533</v>
      </c>
      <c r="Q12" s="875"/>
    </row>
    <row r="13" spans="1:17" ht="24.95" customHeight="1">
      <c r="A13" s="869" t="s">
        <v>409</v>
      </c>
      <c r="B13" s="870"/>
      <c r="C13" s="871">
        <v>29571</v>
      </c>
      <c r="D13" s="871"/>
      <c r="E13" s="871">
        <v>31229</v>
      </c>
      <c r="F13" s="871"/>
      <c r="G13" s="780">
        <v>1478</v>
      </c>
      <c r="H13" s="780"/>
      <c r="I13" s="119"/>
      <c r="J13" s="405">
        <v>5</v>
      </c>
      <c r="K13" s="196">
        <v>5.0999999999999996</v>
      </c>
      <c r="L13" s="871">
        <f t="shared" ref="L13:L19" si="2">E13/K13</f>
        <v>6123.3333333333339</v>
      </c>
      <c r="M13" s="871"/>
      <c r="N13" s="876">
        <f>(E13/46922)*100</f>
        <v>66.555134052256932</v>
      </c>
      <c r="O13" s="876"/>
      <c r="P13" s="874">
        <f>(K13/229)*100</f>
        <v>2.2270742358078599</v>
      </c>
      <c r="Q13" s="875"/>
    </row>
    <row r="14" spans="1:17" ht="24.95" customHeight="1">
      <c r="A14" s="886" t="s">
        <v>410</v>
      </c>
      <c r="B14" s="887"/>
      <c r="C14" s="877">
        <v>96067</v>
      </c>
      <c r="D14" s="877"/>
      <c r="E14" s="877">
        <v>106447</v>
      </c>
      <c r="F14" s="877"/>
      <c r="G14" s="877">
        <f t="shared" si="0"/>
        <v>10380</v>
      </c>
      <c r="H14" s="877"/>
      <c r="I14" s="120"/>
      <c r="J14" s="198">
        <f t="shared" si="1"/>
        <v>10.804959039004029</v>
      </c>
      <c r="K14" s="198">
        <v>12.07</v>
      </c>
      <c r="L14" s="877">
        <f t="shared" si="2"/>
        <v>8819.1383595691805</v>
      </c>
      <c r="M14" s="877"/>
      <c r="N14" s="878">
        <f>(E14/110351)*100</f>
        <v>96.462197895805204</v>
      </c>
      <c r="O14" s="878"/>
      <c r="P14" s="884">
        <f>(K14/19.09)*100</f>
        <v>63.226820324777378</v>
      </c>
      <c r="Q14" s="885"/>
    </row>
    <row r="15" spans="1:17" ht="24.95" customHeight="1">
      <c r="A15" s="869" t="s">
        <v>411</v>
      </c>
      <c r="B15" s="870"/>
      <c r="C15" s="871">
        <v>23203</v>
      </c>
      <c r="D15" s="871"/>
      <c r="E15" s="871">
        <v>24500</v>
      </c>
      <c r="F15" s="871"/>
      <c r="G15" s="871">
        <f t="shared" si="0"/>
        <v>1297</v>
      </c>
      <c r="H15" s="871"/>
      <c r="I15" s="119"/>
      <c r="J15" s="196">
        <f t="shared" si="1"/>
        <v>5.5897944231349399</v>
      </c>
      <c r="K15" s="196">
        <v>4.43</v>
      </c>
      <c r="L15" s="871">
        <f t="shared" si="2"/>
        <v>5530.4740406320543</v>
      </c>
      <c r="M15" s="871"/>
      <c r="N15" s="876">
        <f>(E15/60231)*100</f>
        <v>40.676727930799757</v>
      </c>
      <c r="O15" s="876"/>
      <c r="P15" s="874">
        <f>(K15/210.37)*100</f>
        <v>2.1058135665731803</v>
      </c>
      <c r="Q15" s="875"/>
    </row>
    <row r="16" spans="1:17" ht="24.95" customHeight="1">
      <c r="A16" s="869" t="s">
        <v>412</v>
      </c>
      <c r="B16" s="870"/>
      <c r="C16" s="871">
        <v>29952</v>
      </c>
      <c r="D16" s="871"/>
      <c r="E16" s="871">
        <v>32684</v>
      </c>
      <c r="F16" s="871"/>
      <c r="G16" s="871">
        <f t="shared" si="0"/>
        <v>2732</v>
      </c>
      <c r="H16" s="871"/>
      <c r="I16" s="119"/>
      <c r="J16" s="196">
        <f t="shared" si="1"/>
        <v>9.1212606837606831</v>
      </c>
      <c r="K16" s="196">
        <v>6.35</v>
      </c>
      <c r="L16" s="871">
        <f t="shared" si="2"/>
        <v>5147.0866141732286</v>
      </c>
      <c r="M16" s="871"/>
      <c r="N16" s="876">
        <f>(E16/57320)*100</f>
        <v>57.020237264480109</v>
      </c>
      <c r="O16" s="876"/>
      <c r="P16" s="874">
        <f>(K16/46.63)*100</f>
        <v>13.617842590606905</v>
      </c>
      <c r="Q16" s="875"/>
    </row>
    <row r="17" spans="1:17" ht="24.95" customHeight="1">
      <c r="A17" s="869" t="s">
        <v>413</v>
      </c>
      <c r="B17" s="870"/>
      <c r="C17" s="871">
        <v>107967</v>
      </c>
      <c r="D17" s="871"/>
      <c r="E17" s="871">
        <v>112748</v>
      </c>
      <c r="F17" s="871"/>
      <c r="G17" s="871">
        <f t="shared" si="0"/>
        <v>4781</v>
      </c>
      <c r="H17" s="871"/>
      <c r="I17" s="121"/>
      <c r="J17" s="196">
        <f t="shared" si="1"/>
        <v>4.4282049144646045</v>
      </c>
      <c r="K17" s="196">
        <v>16.32</v>
      </c>
      <c r="L17" s="871">
        <f t="shared" si="2"/>
        <v>6908.5784313725489</v>
      </c>
      <c r="M17" s="871"/>
      <c r="N17" s="876">
        <f>(E17/130249)*100</f>
        <v>86.563428510007753</v>
      </c>
      <c r="O17" s="876"/>
      <c r="P17" s="874">
        <f>(K17/49)*100</f>
        <v>33.306122448979593</v>
      </c>
      <c r="Q17" s="875"/>
    </row>
    <row r="18" spans="1:17" ht="24.95" customHeight="1">
      <c r="A18" s="869" t="s">
        <v>231</v>
      </c>
      <c r="B18" s="870"/>
      <c r="C18" s="871">
        <v>36548</v>
      </c>
      <c r="D18" s="871"/>
      <c r="E18" s="871">
        <v>37788</v>
      </c>
      <c r="F18" s="871"/>
      <c r="G18" s="871">
        <f t="shared" si="0"/>
        <v>1240</v>
      </c>
      <c r="H18" s="871"/>
      <c r="I18" s="119"/>
      <c r="J18" s="196">
        <f t="shared" si="1"/>
        <v>3.3927985115464598</v>
      </c>
      <c r="K18" s="196">
        <v>4.5199999999999996</v>
      </c>
      <c r="L18" s="871">
        <f t="shared" si="2"/>
        <v>8360.1769911504434</v>
      </c>
      <c r="M18" s="871"/>
      <c r="N18" s="876">
        <f>(E18/57261)*100</f>
        <v>65.992560381411437</v>
      </c>
      <c r="O18" s="876"/>
      <c r="P18" s="874">
        <f>(K18/19.45)*100</f>
        <v>23.239074550128532</v>
      </c>
      <c r="Q18" s="875"/>
    </row>
    <row r="19" spans="1:17" ht="24.95" customHeight="1">
      <c r="A19" s="869" t="s">
        <v>215</v>
      </c>
      <c r="B19" s="870"/>
      <c r="C19" s="871">
        <v>54832</v>
      </c>
      <c r="D19" s="871"/>
      <c r="E19" s="871">
        <v>57375</v>
      </c>
      <c r="F19" s="871"/>
      <c r="G19" s="871">
        <f t="shared" si="0"/>
        <v>2543</v>
      </c>
      <c r="H19" s="871"/>
      <c r="I19" s="119"/>
      <c r="J19" s="196">
        <f t="shared" si="1"/>
        <v>4.6378027429238404</v>
      </c>
      <c r="K19" s="196">
        <v>9.8800000000000008</v>
      </c>
      <c r="L19" s="871">
        <f t="shared" si="2"/>
        <v>5807.1862348178129</v>
      </c>
      <c r="M19" s="871"/>
      <c r="N19" s="876">
        <f>(E19/116979)*100</f>
        <v>49.047264893698866</v>
      </c>
      <c r="O19" s="876"/>
      <c r="P19" s="874">
        <f>(K19/86.08)*100</f>
        <v>11.477695167286246</v>
      </c>
      <c r="Q19" s="875"/>
    </row>
    <row r="20" spans="1:17" ht="24.95" customHeight="1" thickBot="1">
      <c r="A20" s="865" t="s">
        <v>217</v>
      </c>
      <c r="B20" s="866"/>
      <c r="C20" s="867">
        <v>16202</v>
      </c>
      <c r="D20" s="867"/>
      <c r="E20" s="867">
        <v>17176</v>
      </c>
      <c r="F20" s="867"/>
      <c r="G20" s="867">
        <f t="shared" si="0"/>
        <v>974</v>
      </c>
      <c r="H20" s="867"/>
      <c r="I20" s="187"/>
      <c r="J20" s="406">
        <v>6</v>
      </c>
      <c r="K20" s="199">
        <v>3.48</v>
      </c>
      <c r="L20" s="867">
        <f>E20/K20</f>
        <v>4935.6321839080456</v>
      </c>
      <c r="M20" s="867"/>
      <c r="N20" s="881">
        <f>(E20/52039)*100</f>
        <v>33.006014719729428</v>
      </c>
      <c r="O20" s="881"/>
      <c r="P20" s="879">
        <f>(K20/204.57)*100</f>
        <v>1.7011291978295939</v>
      </c>
      <c r="Q20" s="880"/>
    </row>
    <row r="21" spans="1:17" ht="15" customHeight="1">
      <c r="A21" s="5" t="s">
        <v>414</v>
      </c>
      <c r="J21" s="1"/>
      <c r="K21" s="1"/>
      <c r="L21" s="1"/>
      <c r="M21" s="1"/>
      <c r="N21" s="1"/>
      <c r="Q21" s="7" t="s">
        <v>276</v>
      </c>
    </row>
    <row r="22" spans="1:17" ht="15" customHeight="1">
      <c r="J22" s="1"/>
      <c r="K22" s="1"/>
      <c r="L22" s="1"/>
      <c r="M22" s="1"/>
      <c r="N22" s="1"/>
      <c r="O22" s="1"/>
      <c r="P22" s="1"/>
    </row>
    <row r="23" spans="1:17" ht="15" customHeight="1" thickBot="1">
      <c r="A23" s="5" t="s">
        <v>16</v>
      </c>
      <c r="J23" s="1"/>
      <c r="K23" s="1"/>
      <c r="L23" s="1"/>
      <c r="M23" s="1"/>
      <c r="N23" s="1"/>
      <c r="O23" s="1"/>
      <c r="P23" s="1"/>
      <c r="Q23" s="7" t="s">
        <v>31</v>
      </c>
    </row>
    <row r="24" spans="1:17" ht="15" customHeight="1">
      <c r="A24" s="200"/>
      <c r="B24" s="201"/>
      <c r="C24" s="202"/>
      <c r="D24" s="784" t="s">
        <v>415</v>
      </c>
      <c r="E24" s="784"/>
      <c r="F24" s="784"/>
      <c r="G24" s="784"/>
      <c r="H24" s="203"/>
      <c r="I24" s="204"/>
      <c r="J24" s="872" t="s">
        <v>416</v>
      </c>
      <c r="K24" s="872"/>
      <c r="L24" s="872"/>
      <c r="M24" s="872"/>
      <c r="N24" s="872"/>
      <c r="O24" s="872"/>
      <c r="P24" s="872"/>
      <c r="Q24" s="205"/>
    </row>
    <row r="25" spans="1:17" ht="15" customHeight="1">
      <c r="A25" s="206"/>
      <c r="B25" s="123"/>
      <c r="C25" s="11" t="s">
        <v>417</v>
      </c>
      <c r="D25" s="781"/>
      <c r="E25" s="781"/>
      <c r="F25" s="781"/>
      <c r="G25" s="781"/>
      <c r="H25" s="11"/>
      <c r="I25" s="81"/>
      <c r="J25" s="873"/>
      <c r="K25" s="873"/>
      <c r="L25" s="873"/>
      <c r="M25" s="873"/>
      <c r="N25" s="873"/>
      <c r="O25" s="873"/>
      <c r="P25" s="873"/>
      <c r="Q25" s="207" t="s">
        <v>333</v>
      </c>
    </row>
    <row r="26" spans="1:17" ht="24.95" customHeight="1">
      <c r="A26" s="208"/>
      <c r="B26" s="125"/>
      <c r="C26" s="124"/>
      <c r="D26" s="10" t="s">
        <v>379</v>
      </c>
      <c r="E26" s="10" t="s">
        <v>380</v>
      </c>
      <c r="F26" s="10" t="s">
        <v>381</v>
      </c>
      <c r="G26" s="10" t="s">
        <v>382</v>
      </c>
      <c r="H26" s="216" t="s">
        <v>418</v>
      </c>
      <c r="I26" s="508"/>
      <c r="J26" s="64" t="s">
        <v>383</v>
      </c>
      <c r="K26" s="10" t="s">
        <v>327</v>
      </c>
      <c r="L26" s="10" t="s">
        <v>328</v>
      </c>
      <c r="M26" s="10" t="s">
        <v>329</v>
      </c>
      <c r="N26" s="10" t="s">
        <v>330</v>
      </c>
      <c r="O26" s="10" t="s">
        <v>331</v>
      </c>
      <c r="P26" s="10" t="s">
        <v>332</v>
      </c>
      <c r="Q26" s="186"/>
    </row>
    <row r="27" spans="1:17" ht="21" customHeight="1">
      <c r="A27" s="209"/>
      <c r="B27" s="122"/>
      <c r="C27" s="88"/>
      <c r="D27" s="74"/>
      <c r="E27" s="126"/>
      <c r="F27" s="74"/>
      <c r="G27" s="74"/>
      <c r="H27" s="37"/>
      <c r="I27" s="37"/>
      <c r="J27" s="74"/>
      <c r="K27" s="74"/>
      <c r="L27" s="74"/>
      <c r="M27" s="74"/>
      <c r="N27" s="74"/>
      <c r="O27" s="74"/>
      <c r="P27" s="74"/>
      <c r="Q27" s="210"/>
    </row>
    <row r="28" spans="1:17" ht="24.95" customHeight="1">
      <c r="A28" s="813" t="s">
        <v>419</v>
      </c>
      <c r="B28" s="814"/>
      <c r="C28" s="28">
        <f>SUM(D28,H28,Q28)</f>
        <v>930751</v>
      </c>
      <c r="D28" s="2">
        <f>SUM(E28:G28)</f>
        <v>169027</v>
      </c>
      <c r="E28" s="495">
        <v>55949</v>
      </c>
      <c r="F28" s="495">
        <v>55864</v>
      </c>
      <c r="G28" s="495">
        <v>57214</v>
      </c>
      <c r="H28" s="2">
        <f>SUM(J28:P28)</f>
        <v>605899</v>
      </c>
      <c r="I28" s="2"/>
      <c r="J28" s="495">
        <v>56149</v>
      </c>
      <c r="K28" s="495">
        <v>51627</v>
      </c>
      <c r="L28" s="495">
        <v>59262</v>
      </c>
      <c r="M28" s="495">
        <v>65962</v>
      </c>
      <c r="N28" s="495">
        <v>139101</v>
      </c>
      <c r="O28" s="495">
        <v>117956</v>
      </c>
      <c r="P28" s="495">
        <v>115842</v>
      </c>
      <c r="Q28" s="496">
        <v>155825</v>
      </c>
    </row>
    <row r="29" spans="1:17" ht="21" customHeight="1">
      <c r="A29" s="366"/>
      <c r="B29" s="494"/>
      <c r="C29" s="3"/>
      <c r="D29" s="2"/>
      <c r="E29" s="2"/>
      <c r="F29" s="2"/>
      <c r="G29" s="2"/>
      <c r="H29" s="2"/>
      <c r="I29" s="2"/>
      <c r="J29" s="2"/>
      <c r="L29" s="2"/>
      <c r="M29" s="2"/>
      <c r="N29" s="2"/>
      <c r="O29" s="2"/>
      <c r="P29" s="2"/>
      <c r="Q29" s="497"/>
    </row>
    <row r="30" spans="1:17" ht="21" customHeight="1">
      <c r="A30" s="366"/>
      <c r="B30" s="494"/>
      <c r="C30" s="3"/>
      <c r="D30" s="2"/>
      <c r="E30" s="2"/>
      <c r="F30" s="2"/>
      <c r="G30" s="2"/>
      <c r="H30" s="2"/>
      <c r="I30" s="2"/>
      <c r="J30" s="2"/>
      <c r="L30" s="2"/>
      <c r="M30" s="2"/>
      <c r="N30" s="2"/>
      <c r="O30" s="2"/>
      <c r="P30" s="2"/>
      <c r="Q30" s="211"/>
    </row>
    <row r="31" spans="1:17" ht="24.95" customHeight="1">
      <c r="A31" s="819" t="s">
        <v>420</v>
      </c>
      <c r="B31" s="868"/>
      <c r="C31" s="3">
        <f>SUM(D31,H31,Q31)</f>
        <v>826017</v>
      </c>
      <c r="D31" s="2">
        <f>SUM(E31:G31)</f>
        <v>149159</v>
      </c>
      <c r="E31" s="495">
        <v>49529</v>
      </c>
      <c r="F31" s="495">
        <v>49270</v>
      </c>
      <c r="G31" s="495">
        <v>50360</v>
      </c>
      <c r="H31" s="2">
        <f>SUM(J31:P31)</f>
        <v>538402</v>
      </c>
      <c r="I31" s="2"/>
      <c r="J31" s="495">
        <v>49440</v>
      </c>
      <c r="K31" s="2">
        <v>45875</v>
      </c>
      <c r="L31" s="495">
        <v>52830</v>
      </c>
      <c r="M31" s="495">
        <v>58600</v>
      </c>
      <c r="N31" s="495">
        <v>124237</v>
      </c>
      <c r="O31" s="495">
        <v>104854</v>
      </c>
      <c r="P31" s="495">
        <v>102566</v>
      </c>
      <c r="Q31" s="496">
        <v>138456</v>
      </c>
    </row>
    <row r="32" spans="1:17" ht="21" customHeight="1">
      <c r="A32" s="366"/>
      <c r="B32" s="493"/>
      <c r="C32" s="28"/>
      <c r="D32" s="2"/>
      <c r="E32" s="2"/>
      <c r="F32" s="2"/>
      <c r="G32" s="2"/>
      <c r="H32" s="2"/>
      <c r="I32" s="2"/>
      <c r="J32" s="127"/>
      <c r="K32" s="127"/>
      <c r="L32" s="127"/>
      <c r="M32" s="127"/>
      <c r="N32" s="127"/>
      <c r="O32" s="127"/>
      <c r="P32" s="127"/>
      <c r="Q32" s="499"/>
    </row>
    <row r="33" spans="1:17" ht="21" customHeight="1">
      <c r="A33" s="366"/>
      <c r="B33" s="493"/>
      <c r="C33" s="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11"/>
    </row>
    <row r="34" spans="1:17" ht="24.95" customHeight="1">
      <c r="A34" s="813" t="s">
        <v>421</v>
      </c>
      <c r="B34" s="814"/>
      <c r="C34" s="28">
        <f>SUM(D34,H34,Q34)</f>
        <v>104734</v>
      </c>
      <c r="D34" s="2">
        <f>SUM(E34:G34)</f>
        <v>19868</v>
      </c>
      <c r="E34" s="495">
        <v>6420</v>
      </c>
      <c r="F34" s="495">
        <v>6594</v>
      </c>
      <c r="G34" s="495">
        <v>6854</v>
      </c>
      <c r="H34" s="2">
        <f>SUM(J34:P34)</f>
        <v>67497</v>
      </c>
      <c r="I34" s="2"/>
      <c r="J34" s="495">
        <v>6709</v>
      </c>
      <c r="K34" s="2">
        <v>5752</v>
      </c>
      <c r="L34" s="495">
        <v>6432</v>
      </c>
      <c r="M34" s="495">
        <v>7362</v>
      </c>
      <c r="N34" s="495">
        <v>14864</v>
      </c>
      <c r="O34" s="495">
        <v>13102</v>
      </c>
      <c r="P34" s="495">
        <v>13276</v>
      </c>
      <c r="Q34" s="496">
        <v>17369</v>
      </c>
    </row>
    <row r="35" spans="1:17" ht="21" customHeight="1" thickBot="1">
      <c r="A35" s="212"/>
      <c r="B35" s="213"/>
      <c r="C35" s="214"/>
      <c r="D35" s="195"/>
      <c r="E35" s="195"/>
      <c r="F35" s="195"/>
      <c r="G35" s="195"/>
      <c r="H35" s="195"/>
      <c r="I35" s="195"/>
      <c r="J35" s="215"/>
      <c r="K35" s="215"/>
      <c r="L35" s="215"/>
      <c r="M35" s="215"/>
      <c r="N35" s="215"/>
      <c r="O35" s="215"/>
      <c r="P35" s="215"/>
      <c r="Q35" s="498"/>
    </row>
    <row r="36" spans="1:17" ht="15" customHeight="1">
      <c r="P36" s="5"/>
      <c r="Q36" s="7" t="s">
        <v>276</v>
      </c>
    </row>
    <row r="37" spans="1:17" ht="15" customHeight="1">
      <c r="A37" s="5" t="s">
        <v>422</v>
      </c>
    </row>
    <row r="38" spans="1:17" ht="15" customHeight="1">
      <c r="A38" s="5" t="s">
        <v>703</v>
      </c>
      <c r="J38" s="5" t="s">
        <v>424</v>
      </c>
    </row>
    <row r="39" spans="1:17" ht="15" customHeight="1">
      <c r="A39" s="5" t="s">
        <v>704</v>
      </c>
      <c r="J39" s="5" t="s">
        <v>426</v>
      </c>
    </row>
    <row r="40" spans="1:17" ht="15" customHeight="1">
      <c r="A40" s="5" t="s">
        <v>705</v>
      </c>
      <c r="J40" s="1"/>
      <c r="K40" s="1"/>
      <c r="L40" s="1"/>
      <c r="M40" s="1"/>
      <c r="N40" s="1"/>
      <c r="O40" s="1"/>
      <c r="P40" s="1"/>
    </row>
  </sheetData>
  <sheetProtection selectLockedCells="1" selectUnlockedCells="1"/>
  <mergeCells count="101">
    <mergeCell ref="N10:O10"/>
    <mergeCell ref="J1:Q1"/>
    <mergeCell ref="A4:H4"/>
    <mergeCell ref="J4:Q4"/>
    <mergeCell ref="J5:Q5"/>
    <mergeCell ref="E9:F9"/>
    <mergeCell ref="L12:M12"/>
    <mergeCell ref="N12:O12"/>
    <mergeCell ref="N11:O11"/>
    <mergeCell ref="P12:Q12"/>
    <mergeCell ref="P11:Q11"/>
    <mergeCell ref="L11:M11"/>
    <mergeCell ref="P9:Q9"/>
    <mergeCell ref="G9:H9"/>
    <mergeCell ref="P8:Q8"/>
    <mergeCell ref="C7:F8"/>
    <mergeCell ref="N7:O7"/>
    <mergeCell ref="N9:O9"/>
    <mergeCell ref="P7:Q7"/>
    <mergeCell ref="K7:K8"/>
    <mergeCell ref="L7:M8"/>
    <mergeCell ref="A10:B10"/>
    <mergeCell ref="C9:D9"/>
    <mergeCell ref="C11:D11"/>
    <mergeCell ref="E11:F11"/>
    <mergeCell ref="E12:F12"/>
    <mergeCell ref="G11:H11"/>
    <mergeCell ref="G15:H15"/>
    <mergeCell ref="L15:M15"/>
    <mergeCell ref="C12:D12"/>
    <mergeCell ref="G10:H10"/>
    <mergeCell ref="L10:M10"/>
    <mergeCell ref="A7:B9"/>
    <mergeCell ref="P10:Q10"/>
    <mergeCell ref="G12:H12"/>
    <mergeCell ref="P15:Q15"/>
    <mergeCell ref="A13:B13"/>
    <mergeCell ref="C13:D13"/>
    <mergeCell ref="A11:B11"/>
    <mergeCell ref="P14:Q14"/>
    <mergeCell ref="L13:M13"/>
    <mergeCell ref="A14:B14"/>
    <mergeCell ref="C14:D14"/>
    <mergeCell ref="E14:F14"/>
    <mergeCell ref="G14:H14"/>
    <mergeCell ref="A12:B12"/>
    <mergeCell ref="E10:F10"/>
    <mergeCell ref="J7:J8"/>
    <mergeCell ref="G7:H8"/>
    <mergeCell ref="N13:O13"/>
    <mergeCell ref="P13:Q13"/>
    <mergeCell ref="E13:F13"/>
    <mergeCell ref="G13:H13"/>
    <mergeCell ref="N15:O15"/>
    <mergeCell ref="C10:D10"/>
    <mergeCell ref="N8:O8"/>
    <mergeCell ref="L14:M14"/>
    <mergeCell ref="N14:O14"/>
    <mergeCell ref="L19:M19"/>
    <mergeCell ref="L18:M18"/>
    <mergeCell ref="N18:O18"/>
    <mergeCell ref="P20:Q20"/>
    <mergeCell ref="N20:O20"/>
    <mergeCell ref="P18:Q18"/>
    <mergeCell ref="A18:B18"/>
    <mergeCell ref="C18:D18"/>
    <mergeCell ref="E18:F18"/>
    <mergeCell ref="A15:B15"/>
    <mergeCell ref="A17:B17"/>
    <mergeCell ref="E15:F15"/>
    <mergeCell ref="C17:D17"/>
    <mergeCell ref="E17:F17"/>
    <mergeCell ref="A16:B16"/>
    <mergeCell ref="C16:D16"/>
    <mergeCell ref="E16:F16"/>
    <mergeCell ref="C15:D15"/>
    <mergeCell ref="J24:P25"/>
    <mergeCell ref="P19:Q19"/>
    <mergeCell ref="G16:H16"/>
    <mergeCell ref="L17:M17"/>
    <mergeCell ref="N17:O17"/>
    <mergeCell ref="P17:Q17"/>
    <mergeCell ref="P16:Q16"/>
    <mergeCell ref="G18:H18"/>
    <mergeCell ref="N19:O19"/>
    <mergeCell ref="L20:M20"/>
    <mergeCell ref="G17:H17"/>
    <mergeCell ref="L16:M16"/>
    <mergeCell ref="N16:O16"/>
    <mergeCell ref="A34:B34"/>
    <mergeCell ref="A20:B20"/>
    <mergeCell ref="C20:D20"/>
    <mergeCell ref="A28:B28"/>
    <mergeCell ref="A31:B31"/>
    <mergeCell ref="D24:G25"/>
    <mergeCell ref="E20:F20"/>
    <mergeCell ref="G20:H20"/>
    <mergeCell ref="A19:B19"/>
    <mergeCell ref="C19:D19"/>
    <mergeCell ref="E19:F19"/>
    <mergeCell ref="G19:H1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&amp;L&amp;"ＭＳ 明朝,標準"&amp;10人　口</oddHeader>
    <oddFooter>&amp;C&amp;"ＭＳ 明朝,標準"&amp;10&amp;A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Q40"/>
  <sheetViews>
    <sheetView view="pageBreakPreview" topLeftCell="A40" zoomScaleNormal="100" zoomScaleSheetLayoutView="100" workbookViewId="0">
      <pane xSplit="2" topLeftCell="I1" activePane="topRight" state="frozen"/>
      <selection activeCell="E5" sqref="E5"/>
      <selection pane="topRight" activeCell="N34" sqref="N34"/>
    </sheetView>
  </sheetViews>
  <sheetFormatPr defaultRowHeight="18.95" customHeight="1"/>
  <cols>
    <col min="1" max="2" width="9.625" style="6" customWidth="1"/>
    <col min="3" max="3" width="15.125" style="6" customWidth="1"/>
    <col min="4" max="8" width="11.375" style="6" customWidth="1"/>
    <col min="9" max="9" width="0.875" style="6" customWidth="1"/>
    <col min="10" max="10" width="10.875" style="6" customWidth="1"/>
    <col min="11" max="17" width="11.375" style="6" customWidth="1"/>
    <col min="18" max="16384" width="9" style="6"/>
  </cols>
  <sheetData>
    <row r="1" spans="1:17" ht="5.0999999999999996" customHeight="1">
      <c r="A1" s="57"/>
      <c r="B1" s="5"/>
      <c r="J1" s="798"/>
      <c r="K1" s="798"/>
      <c r="L1" s="798"/>
      <c r="M1" s="798"/>
      <c r="N1" s="798"/>
      <c r="O1" s="798"/>
      <c r="P1" s="798"/>
      <c r="Q1" s="798"/>
    </row>
    <row r="2" spans="1:17" ht="15" customHeight="1">
      <c r="A2" s="57" t="s">
        <v>396</v>
      </c>
      <c r="B2" s="5"/>
      <c r="J2" s="61"/>
      <c r="K2" s="61"/>
      <c r="L2" s="61"/>
      <c r="M2" s="61"/>
      <c r="N2" s="61"/>
      <c r="O2" s="61"/>
      <c r="P2" s="61"/>
      <c r="Q2" s="61"/>
    </row>
    <row r="3" spans="1:17" ht="5.0999999999999996" customHeight="1">
      <c r="A3" s="57"/>
      <c r="B3" s="5"/>
      <c r="J3" s="61"/>
      <c r="K3" s="61"/>
      <c r="L3" s="61"/>
      <c r="M3" s="61"/>
      <c r="N3" s="61"/>
      <c r="O3" s="61"/>
      <c r="P3" s="61"/>
      <c r="Q3" s="61"/>
    </row>
    <row r="4" spans="1:17" s="104" customFormat="1" ht="49.5" customHeight="1">
      <c r="A4" s="860" t="s">
        <v>587</v>
      </c>
      <c r="B4" s="860"/>
      <c r="C4" s="860"/>
      <c r="D4" s="860"/>
      <c r="E4" s="860"/>
      <c r="F4" s="860"/>
      <c r="G4" s="860"/>
      <c r="H4" s="860"/>
      <c r="I4" s="117"/>
      <c r="J4" s="896" t="s">
        <v>17</v>
      </c>
      <c r="K4" s="896"/>
      <c r="L4" s="896"/>
      <c r="M4" s="896"/>
      <c r="N4" s="896"/>
      <c r="O4" s="896"/>
      <c r="P4" s="896"/>
      <c r="Q4" s="896"/>
    </row>
    <row r="5" spans="1:17" ht="15" customHeight="1">
      <c r="A5" s="5"/>
      <c r="J5" s="798"/>
      <c r="K5" s="798"/>
      <c r="L5" s="798"/>
      <c r="M5" s="798"/>
      <c r="N5" s="798"/>
      <c r="O5" s="798"/>
      <c r="P5" s="798"/>
      <c r="Q5" s="798"/>
    </row>
    <row r="6" spans="1:17" ht="15" customHeight="1" thickBot="1">
      <c r="A6" s="5" t="s">
        <v>397</v>
      </c>
      <c r="J6" s="1"/>
      <c r="K6" s="1"/>
      <c r="L6" s="1"/>
      <c r="M6" s="1"/>
      <c r="N6" s="1"/>
      <c r="O6" s="1"/>
      <c r="P6" s="1"/>
      <c r="Q6" s="7" t="s">
        <v>398</v>
      </c>
    </row>
    <row r="7" spans="1:17" ht="15" customHeight="1">
      <c r="A7" s="882" t="s">
        <v>508</v>
      </c>
      <c r="B7" s="824"/>
      <c r="C7" s="784" t="s">
        <v>509</v>
      </c>
      <c r="D7" s="784"/>
      <c r="E7" s="784"/>
      <c r="F7" s="784"/>
      <c r="G7" s="889" t="s">
        <v>543</v>
      </c>
      <c r="H7" s="890"/>
      <c r="I7" s="635" t="s">
        <v>544</v>
      </c>
      <c r="J7" s="824" t="s">
        <v>697</v>
      </c>
      <c r="K7" s="822" t="s">
        <v>265</v>
      </c>
      <c r="L7" s="823" t="s">
        <v>510</v>
      </c>
      <c r="M7" s="824"/>
      <c r="N7" s="822" t="s">
        <v>399</v>
      </c>
      <c r="O7" s="822"/>
      <c r="P7" s="822" t="s">
        <v>400</v>
      </c>
      <c r="Q7" s="901"/>
    </row>
    <row r="8" spans="1:17" ht="15" customHeight="1">
      <c r="A8" s="819"/>
      <c r="B8" s="859"/>
      <c r="C8" s="781"/>
      <c r="D8" s="781"/>
      <c r="E8" s="781"/>
      <c r="F8" s="781"/>
      <c r="G8" s="891"/>
      <c r="H8" s="892"/>
      <c r="I8" s="636"/>
      <c r="J8" s="826"/>
      <c r="K8" s="902"/>
      <c r="L8" s="820"/>
      <c r="M8" s="859"/>
      <c r="N8" s="893" t="s">
        <v>512</v>
      </c>
      <c r="O8" s="894"/>
      <c r="P8" s="899" t="s">
        <v>511</v>
      </c>
      <c r="Q8" s="900"/>
    </row>
    <row r="9" spans="1:17" ht="24.95" customHeight="1">
      <c r="A9" s="883"/>
      <c r="B9" s="826"/>
      <c r="C9" s="781" t="s">
        <v>27</v>
      </c>
      <c r="D9" s="781"/>
      <c r="E9" s="781" t="s">
        <v>28</v>
      </c>
      <c r="F9" s="781"/>
      <c r="G9" s="807" t="s">
        <v>401</v>
      </c>
      <c r="H9" s="807"/>
      <c r="I9" s="10"/>
      <c r="J9" s="106" t="s">
        <v>402</v>
      </c>
      <c r="K9" s="9" t="s">
        <v>403</v>
      </c>
      <c r="L9" s="34" t="s">
        <v>404</v>
      </c>
      <c r="M9" s="118"/>
      <c r="N9" s="825" t="s">
        <v>405</v>
      </c>
      <c r="O9" s="826"/>
      <c r="P9" s="897" t="s">
        <v>406</v>
      </c>
      <c r="Q9" s="898"/>
    </row>
    <row r="10" spans="1:17" ht="24.95" customHeight="1">
      <c r="A10" s="903" t="s">
        <v>407</v>
      </c>
      <c r="B10" s="904"/>
      <c r="C10" s="888">
        <v>893275</v>
      </c>
      <c r="D10" s="888"/>
      <c r="E10" s="888">
        <v>930751</v>
      </c>
      <c r="F10" s="888"/>
      <c r="G10" s="888">
        <f>E10-C10</f>
        <v>37476</v>
      </c>
      <c r="H10" s="888"/>
      <c r="I10" s="119"/>
      <c r="J10" s="196">
        <f>G10/C10*100</f>
        <v>4.195348576866027</v>
      </c>
      <c r="K10" s="197">
        <v>130.91999999999999</v>
      </c>
      <c r="L10" s="871">
        <f>E10/K10</f>
        <v>7109.3110296364202</v>
      </c>
      <c r="M10" s="871"/>
      <c r="N10" s="895">
        <f>(E10/1392818)*100</f>
        <v>66.825026672544439</v>
      </c>
      <c r="O10" s="895"/>
      <c r="P10" s="874">
        <f>(K10/2276.15)*100</f>
        <v>5.7518177624497495</v>
      </c>
      <c r="Q10" s="875"/>
    </row>
    <row r="11" spans="1:17" ht="24.95" customHeight="1">
      <c r="A11" s="869" t="s">
        <v>408</v>
      </c>
      <c r="B11" s="870"/>
      <c r="C11" s="871">
        <v>308007</v>
      </c>
      <c r="D11" s="871"/>
      <c r="E11" s="871">
        <v>314951</v>
      </c>
      <c r="F11" s="871"/>
      <c r="G11" s="871">
        <f t="shared" ref="G11:G20" si="0">E11-C11</f>
        <v>6944</v>
      </c>
      <c r="H11" s="871"/>
      <c r="I11" s="119"/>
      <c r="J11" s="196">
        <f>G11/C11*100</f>
        <v>2.2544942160405443</v>
      </c>
      <c r="K11" s="196">
        <v>38.380000000000003</v>
      </c>
      <c r="L11" s="871">
        <f>E11/K11</f>
        <v>8206.1229807191248</v>
      </c>
      <c r="M11" s="871"/>
      <c r="N11" s="876">
        <f>(E11/315954)*100</f>
        <v>99.682548725447376</v>
      </c>
      <c r="O11" s="876"/>
      <c r="P11" s="874">
        <f>(K11/39.24)*100</f>
        <v>97.808358817533133</v>
      </c>
      <c r="Q11" s="875"/>
    </row>
    <row r="12" spans="1:17" ht="24.95" customHeight="1">
      <c r="A12" s="869" t="s">
        <v>219</v>
      </c>
      <c r="B12" s="870"/>
      <c r="C12" s="871">
        <v>88908</v>
      </c>
      <c r="D12" s="871"/>
      <c r="E12" s="871">
        <v>91119</v>
      </c>
      <c r="F12" s="871"/>
      <c r="G12" s="871">
        <f t="shared" si="0"/>
        <v>2211</v>
      </c>
      <c r="H12" s="871"/>
      <c r="I12" s="119"/>
      <c r="J12" s="196">
        <f t="shared" ref="J12:J19" si="1">G12/C12*100</f>
        <v>2.4868403293291945</v>
      </c>
      <c r="K12" s="196">
        <v>12.68</v>
      </c>
      <c r="L12" s="871">
        <f>E12/K12</f>
        <v>7186.0410094637227</v>
      </c>
      <c r="M12" s="871"/>
      <c r="N12" s="876">
        <f>(E12/91928)*100</f>
        <v>99.119963449656254</v>
      </c>
      <c r="O12" s="876"/>
      <c r="P12" s="874">
        <f>(K12/19.7)*100</f>
        <v>64.365482233502533</v>
      </c>
      <c r="Q12" s="875"/>
    </row>
    <row r="13" spans="1:17" ht="24.95" customHeight="1">
      <c r="A13" s="869" t="s">
        <v>409</v>
      </c>
      <c r="B13" s="870"/>
      <c r="C13" s="871">
        <v>29571</v>
      </c>
      <c r="D13" s="871"/>
      <c r="E13" s="871">
        <v>31229</v>
      </c>
      <c r="F13" s="871"/>
      <c r="G13" s="780">
        <v>1478</v>
      </c>
      <c r="H13" s="780"/>
      <c r="I13" s="119"/>
      <c r="J13" s="405">
        <v>5</v>
      </c>
      <c r="K13" s="196">
        <v>5.0999999999999996</v>
      </c>
      <c r="L13" s="871">
        <f t="shared" ref="L13:L19" si="2">E13/K13</f>
        <v>6123.3333333333339</v>
      </c>
      <c r="M13" s="871"/>
      <c r="N13" s="876">
        <f>(E13/46922)*100</f>
        <v>66.555134052256932</v>
      </c>
      <c r="O13" s="876"/>
      <c r="P13" s="874">
        <f>(K13/229)*100</f>
        <v>2.2270742358078599</v>
      </c>
      <c r="Q13" s="875"/>
    </row>
    <row r="14" spans="1:17" ht="24.95" customHeight="1">
      <c r="A14" s="886" t="s">
        <v>410</v>
      </c>
      <c r="B14" s="887"/>
      <c r="C14" s="877">
        <v>96067</v>
      </c>
      <c r="D14" s="877"/>
      <c r="E14" s="877">
        <v>106447</v>
      </c>
      <c r="F14" s="877"/>
      <c r="G14" s="877">
        <f t="shared" si="0"/>
        <v>10380</v>
      </c>
      <c r="H14" s="877"/>
      <c r="I14" s="120"/>
      <c r="J14" s="198">
        <f t="shared" si="1"/>
        <v>10.804959039004029</v>
      </c>
      <c r="K14" s="198">
        <v>12.07</v>
      </c>
      <c r="L14" s="877">
        <f t="shared" si="2"/>
        <v>8819.1383595691805</v>
      </c>
      <c r="M14" s="877"/>
      <c r="N14" s="878">
        <f>(E14/110351)*100</f>
        <v>96.462197895805204</v>
      </c>
      <c r="O14" s="878"/>
      <c r="P14" s="884">
        <f>(K14/19.09)*100</f>
        <v>63.226820324777378</v>
      </c>
      <c r="Q14" s="885"/>
    </row>
    <row r="15" spans="1:17" ht="24.95" customHeight="1">
      <c r="A15" s="869" t="s">
        <v>411</v>
      </c>
      <c r="B15" s="870"/>
      <c r="C15" s="871">
        <v>23203</v>
      </c>
      <c r="D15" s="871"/>
      <c r="E15" s="871">
        <v>24500</v>
      </c>
      <c r="F15" s="871"/>
      <c r="G15" s="871">
        <f t="shared" si="0"/>
        <v>1297</v>
      </c>
      <c r="H15" s="871"/>
      <c r="I15" s="119"/>
      <c r="J15" s="196">
        <f t="shared" si="1"/>
        <v>5.5897944231349399</v>
      </c>
      <c r="K15" s="196">
        <v>4.43</v>
      </c>
      <c r="L15" s="871">
        <f t="shared" si="2"/>
        <v>5530.4740406320543</v>
      </c>
      <c r="M15" s="871"/>
      <c r="N15" s="876">
        <f>(E15/60231)*100</f>
        <v>40.676727930799757</v>
      </c>
      <c r="O15" s="876"/>
      <c r="P15" s="874">
        <f>(K15/210.37)*100</f>
        <v>2.1058135665731803</v>
      </c>
      <c r="Q15" s="875"/>
    </row>
    <row r="16" spans="1:17" ht="24.95" customHeight="1">
      <c r="A16" s="869" t="s">
        <v>412</v>
      </c>
      <c r="B16" s="870"/>
      <c r="C16" s="871">
        <v>29952</v>
      </c>
      <c r="D16" s="871"/>
      <c r="E16" s="871">
        <v>32684</v>
      </c>
      <c r="F16" s="871"/>
      <c r="G16" s="871">
        <f t="shared" si="0"/>
        <v>2732</v>
      </c>
      <c r="H16" s="871"/>
      <c r="I16" s="119"/>
      <c r="J16" s="196">
        <f t="shared" si="1"/>
        <v>9.1212606837606831</v>
      </c>
      <c r="K16" s="196">
        <v>6.35</v>
      </c>
      <c r="L16" s="871">
        <f t="shared" si="2"/>
        <v>5147.0866141732286</v>
      </c>
      <c r="M16" s="871"/>
      <c r="N16" s="876">
        <f>(E16/57320)*100</f>
        <v>57.020237264480109</v>
      </c>
      <c r="O16" s="876"/>
      <c r="P16" s="874">
        <f>(K16/46.63)*100</f>
        <v>13.617842590606905</v>
      </c>
      <c r="Q16" s="875"/>
    </row>
    <row r="17" spans="1:17" ht="24.95" customHeight="1">
      <c r="A17" s="869" t="s">
        <v>413</v>
      </c>
      <c r="B17" s="870"/>
      <c r="C17" s="871">
        <v>107967</v>
      </c>
      <c r="D17" s="871"/>
      <c r="E17" s="871">
        <v>112748</v>
      </c>
      <c r="F17" s="871"/>
      <c r="G17" s="871">
        <f t="shared" si="0"/>
        <v>4781</v>
      </c>
      <c r="H17" s="871"/>
      <c r="I17" s="121"/>
      <c r="J17" s="196">
        <f t="shared" si="1"/>
        <v>4.4282049144646045</v>
      </c>
      <c r="K17" s="196">
        <v>16.32</v>
      </c>
      <c r="L17" s="871">
        <f t="shared" si="2"/>
        <v>6908.5784313725489</v>
      </c>
      <c r="M17" s="871"/>
      <c r="N17" s="876">
        <f>(E17/130249)*100</f>
        <v>86.563428510007753</v>
      </c>
      <c r="O17" s="876"/>
      <c r="P17" s="874">
        <f>(K17/49)*100</f>
        <v>33.306122448979593</v>
      </c>
      <c r="Q17" s="875"/>
    </row>
    <row r="18" spans="1:17" ht="24.95" customHeight="1">
      <c r="A18" s="869" t="s">
        <v>231</v>
      </c>
      <c r="B18" s="870"/>
      <c r="C18" s="871">
        <v>36548</v>
      </c>
      <c r="D18" s="871"/>
      <c r="E18" s="871">
        <v>37788</v>
      </c>
      <c r="F18" s="871"/>
      <c r="G18" s="871">
        <f t="shared" si="0"/>
        <v>1240</v>
      </c>
      <c r="H18" s="871"/>
      <c r="I18" s="119"/>
      <c r="J18" s="196">
        <f t="shared" si="1"/>
        <v>3.3927985115464598</v>
      </c>
      <c r="K18" s="196">
        <v>4.5199999999999996</v>
      </c>
      <c r="L18" s="871">
        <f t="shared" si="2"/>
        <v>8360.1769911504434</v>
      </c>
      <c r="M18" s="871"/>
      <c r="N18" s="876">
        <f>(E18/57261)*100</f>
        <v>65.992560381411437</v>
      </c>
      <c r="O18" s="876"/>
      <c r="P18" s="874">
        <f>(K18/19.45)*100</f>
        <v>23.239074550128532</v>
      </c>
      <c r="Q18" s="875"/>
    </row>
    <row r="19" spans="1:17" ht="24.95" customHeight="1">
      <c r="A19" s="869" t="s">
        <v>215</v>
      </c>
      <c r="B19" s="870"/>
      <c r="C19" s="871">
        <v>54832</v>
      </c>
      <c r="D19" s="871"/>
      <c r="E19" s="871">
        <v>57375</v>
      </c>
      <c r="F19" s="871"/>
      <c r="G19" s="871">
        <f t="shared" si="0"/>
        <v>2543</v>
      </c>
      <c r="H19" s="871"/>
      <c r="I19" s="119"/>
      <c r="J19" s="196">
        <f t="shared" si="1"/>
        <v>4.6378027429238404</v>
      </c>
      <c r="K19" s="196">
        <v>9.8800000000000008</v>
      </c>
      <c r="L19" s="871">
        <f t="shared" si="2"/>
        <v>5807.1862348178129</v>
      </c>
      <c r="M19" s="871"/>
      <c r="N19" s="876">
        <f>(E19/116979)*100</f>
        <v>49.047264893698866</v>
      </c>
      <c r="O19" s="876"/>
      <c r="P19" s="874">
        <f>(K19/86.08)*100</f>
        <v>11.477695167286246</v>
      </c>
      <c r="Q19" s="875"/>
    </row>
    <row r="20" spans="1:17" ht="24.95" customHeight="1" thickBot="1">
      <c r="A20" s="865" t="s">
        <v>217</v>
      </c>
      <c r="B20" s="866"/>
      <c r="C20" s="867">
        <v>16202</v>
      </c>
      <c r="D20" s="867"/>
      <c r="E20" s="867">
        <v>17176</v>
      </c>
      <c r="F20" s="867"/>
      <c r="G20" s="867">
        <f t="shared" si="0"/>
        <v>974</v>
      </c>
      <c r="H20" s="867"/>
      <c r="I20" s="187"/>
      <c r="J20" s="406">
        <v>6</v>
      </c>
      <c r="K20" s="199">
        <v>3.48</v>
      </c>
      <c r="L20" s="867">
        <f>E20/K20</f>
        <v>4935.6321839080456</v>
      </c>
      <c r="M20" s="867"/>
      <c r="N20" s="881">
        <f>(E20/52039)*100</f>
        <v>33.006014719729428</v>
      </c>
      <c r="O20" s="881"/>
      <c r="P20" s="879">
        <f>(K20/204.57)*100</f>
        <v>1.7011291978295939</v>
      </c>
      <c r="Q20" s="880"/>
    </row>
    <row r="21" spans="1:17" ht="15" customHeight="1">
      <c r="A21" s="5" t="s">
        <v>414</v>
      </c>
      <c r="J21" s="1"/>
      <c r="K21" s="1"/>
      <c r="L21" s="1"/>
      <c r="M21" s="1"/>
      <c r="N21" s="1"/>
      <c r="Q21" s="7" t="s">
        <v>276</v>
      </c>
    </row>
    <row r="22" spans="1:17" ht="15" customHeight="1">
      <c r="J22" s="1"/>
      <c r="K22" s="1"/>
      <c r="L22" s="1"/>
      <c r="M22" s="1"/>
      <c r="N22" s="1"/>
      <c r="O22" s="1"/>
      <c r="P22" s="1"/>
    </row>
    <row r="23" spans="1:17" ht="15" customHeight="1" thickBot="1">
      <c r="A23" s="5" t="s">
        <v>16</v>
      </c>
      <c r="J23" s="1"/>
      <c r="K23" s="1"/>
      <c r="L23" s="1"/>
      <c r="M23" s="1"/>
      <c r="N23" s="1"/>
      <c r="O23" s="1"/>
      <c r="P23" s="1"/>
      <c r="Q23" s="7" t="s">
        <v>31</v>
      </c>
    </row>
    <row r="24" spans="1:17" ht="15" customHeight="1">
      <c r="A24" s="200"/>
      <c r="B24" s="201"/>
      <c r="C24" s="202"/>
      <c r="D24" s="784" t="s">
        <v>415</v>
      </c>
      <c r="E24" s="784"/>
      <c r="F24" s="784"/>
      <c r="G24" s="784"/>
      <c r="H24" s="203"/>
      <c r="I24" s="204"/>
      <c r="J24" s="872" t="s">
        <v>416</v>
      </c>
      <c r="K24" s="872"/>
      <c r="L24" s="872"/>
      <c r="M24" s="872"/>
      <c r="N24" s="872"/>
      <c r="O24" s="872"/>
      <c r="P24" s="872"/>
      <c r="Q24" s="205"/>
    </row>
    <row r="25" spans="1:17" ht="15" customHeight="1">
      <c r="A25" s="206"/>
      <c r="B25" s="123"/>
      <c r="C25" s="11" t="s">
        <v>417</v>
      </c>
      <c r="D25" s="781"/>
      <c r="E25" s="781"/>
      <c r="F25" s="781"/>
      <c r="G25" s="781"/>
      <c r="H25" s="11"/>
      <c r="I25" s="81"/>
      <c r="J25" s="873"/>
      <c r="K25" s="873"/>
      <c r="L25" s="873"/>
      <c r="M25" s="873"/>
      <c r="N25" s="873"/>
      <c r="O25" s="873"/>
      <c r="P25" s="873"/>
      <c r="Q25" s="207" t="s">
        <v>333</v>
      </c>
    </row>
    <row r="26" spans="1:17" ht="24.95" customHeight="1">
      <c r="A26" s="208"/>
      <c r="B26" s="125"/>
      <c r="C26" s="124"/>
      <c r="D26" s="10" t="s">
        <v>379</v>
      </c>
      <c r="E26" s="10" t="s">
        <v>380</v>
      </c>
      <c r="F26" s="10" t="s">
        <v>381</v>
      </c>
      <c r="G26" s="10" t="s">
        <v>382</v>
      </c>
      <c r="H26" s="216" t="s">
        <v>418</v>
      </c>
      <c r="I26" s="508"/>
      <c r="J26" s="64" t="s">
        <v>383</v>
      </c>
      <c r="K26" s="10" t="s">
        <v>327</v>
      </c>
      <c r="L26" s="10" t="s">
        <v>328</v>
      </c>
      <c r="M26" s="10" t="s">
        <v>329</v>
      </c>
      <c r="N26" s="10" t="s">
        <v>330</v>
      </c>
      <c r="O26" s="10" t="s">
        <v>331</v>
      </c>
      <c r="P26" s="10" t="s">
        <v>332</v>
      </c>
      <c r="Q26" s="186"/>
    </row>
    <row r="27" spans="1:17" ht="21" customHeight="1">
      <c r="A27" s="209"/>
      <c r="B27" s="122"/>
      <c r="C27" s="88"/>
      <c r="D27" s="74"/>
      <c r="E27" s="126"/>
      <c r="F27" s="74"/>
      <c r="G27" s="74"/>
      <c r="H27" s="37"/>
      <c r="I27" s="37"/>
      <c r="J27" s="74"/>
      <c r="K27" s="74"/>
      <c r="L27" s="74"/>
      <c r="M27" s="74"/>
      <c r="N27" s="74"/>
      <c r="O27" s="74"/>
      <c r="P27" s="74"/>
      <c r="Q27" s="210"/>
    </row>
    <row r="28" spans="1:17" ht="24.95" customHeight="1">
      <c r="A28" s="813" t="s">
        <v>419</v>
      </c>
      <c r="B28" s="814"/>
      <c r="C28" s="28">
        <f>SUM(D28,H28,Q28)</f>
        <v>930751</v>
      </c>
      <c r="D28" s="2">
        <f>SUM(E28:G28)</f>
        <v>169027</v>
      </c>
      <c r="E28" s="495">
        <v>55949</v>
      </c>
      <c r="F28" s="495">
        <v>55864</v>
      </c>
      <c r="G28" s="495">
        <v>57214</v>
      </c>
      <c r="H28" s="2">
        <f>SUM(J28:P28)</f>
        <v>605899</v>
      </c>
      <c r="I28" s="2"/>
      <c r="J28" s="495">
        <v>56149</v>
      </c>
      <c r="K28" s="495">
        <v>51627</v>
      </c>
      <c r="L28" s="495">
        <v>59262</v>
      </c>
      <c r="M28" s="495">
        <v>65962</v>
      </c>
      <c r="N28" s="495">
        <v>139101</v>
      </c>
      <c r="O28" s="495">
        <v>117956</v>
      </c>
      <c r="P28" s="495">
        <v>115842</v>
      </c>
      <c r="Q28" s="496">
        <v>155825</v>
      </c>
    </row>
    <row r="29" spans="1:17" ht="21" customHeight="1">
      <c r="A29" s="366"/>
      <c r="B29" s="494"/>
      <c r="C29" s="3"/>
      <c r="D29" s="2"/>
      <c r="E29" s="2"/>
      <c r="F29" s="2"/>
      <c r="G29" s="2"/>
      <c r="H29" s="2"/>
      <c r="I29" s="2"/>
      <c r="J29" s="2"/>
      <c r="L29" s="2"/>
      <c r="M29" s="2"/>
      <c r="N29" s="2"/>
      <c r="O29" s="2"/>
      <c r="P29" s="2"/>
      <c r="Q29" s="497"/>
    </row>
    <row r="30" spans="1:17" ht="21" customHeight="1">
      <c r="A30" s="366"/>
      <c r="B30" s="494"/>
      <c r="C30" s="3"/>
      <c r="D30" s="2"/>
      <c r="E30" s="2"/>
      <c r="F30" s="2"/>
      <c r="G30" s="2"/>
      <c r="H30" s="2"/>
      <c r="I30" s="2"/>
      <c r="J30" s="2"/>
      <c r="L30" s="2"/>
      <c r="M30" s="2"/>
      <c r="N30" s="2"/>
      <c r="O30" s="2"/>
      <c r="P30" s="2"/>
      <c r="Q30" s="211"/>
    </row>
    <row r="31" spans="1:17" ht="24.95" customHeight="1">
      <c r="A31" s="819" t="s">
        <v>420</v>
      </c>
      <c r="B31" s="868"/>
      <c r="C31" s="3">
        <f>SUM(D31,H31,Q31)</f>
        <v>826017</v>
      </c>
      <c r="D31" s="2">
        <f>SUM(E31:G31)</f>
        <v>149159</v>
      </c>
      <c r="E31" s="495">
        <v>49529</v>
      </c>
      <c r="F31" s="495">
        <v>49270</v>
      </c>
      <c r="G31" s="495">
        <v>50360</v>
      </c>
      <c r="H31" s="2">
        <f>SUM(J31:P31)</f>
        <v>538402</v>
      </c>
      <c r="I31" s="2"/>
      <c r="J31" s="495">
        <v>49440</v>
      </c>
      <c r="K31" s="2">
        <v>45875</v>
      </c>
      <c r="L31" s="495">
        <v>52830</v>
      </c>
      <c r="M31" s="495">
        <v>58600</v>
      </c>
      <c r="N31" s="495">
        <v>124237</v>
      </c>
      <c r="O31" s="495">
        <v>104854</v>
      </c>
      <c r="P31" s="495">
        <v>102566</v>
      </c>
      <c r="Q31" s="496">
        <v>138456</v>
      </c>
    </row>
    <row r="32" spans="1:17" ht="21" customHeight="1">
      <c r="A32" s="366"/>
      <c r="B32" s="493"/>
      <c r="C32" s="28"/>
      <c r="D32" s="2"/>
      <c r="E32" s="2"/>
      <c r="F32" s="2"/>
      <c r="G32" s="2"/>
      <c r="H32" s="2"/>
      <c r="I32" s="2"/>
      <c r="J32" s="127"/>
      <c r="K32" s="127"/>
      <c r="L32" s="127"/>
      <c r="M32" s="127"/>
      <c r="N32" s="127"/>
      <c r="O32" s="127"/>
      <c r="P32" s="127"/>
      <c r="Q32" s="499"/>
    </row>
    <row r="33" spans="1:17" ht="21" customHeight="1">
      <c r="A33" s="366"/>
      <c r="B33" s="493"/>
      <c r="C33" s="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11"/>
    </row>
    <row r="34" spans="1:17" ht="24.95" customHeight="1">
      <c r="A34" s="813" t="s">
        <v>421</v>
      </c>
      <c r="B34" s="814"/>
      <c r="C34" s="28">
        <f>SUM(D34,H34,Q34)</f>
        <v>104734</v>
      </c>
      <c r="D34" s="2">
        <f>SUM(E34:G34)</f>
        <v>19868</v>
      </c>
      <c r="E34" s="495">
        <v>6420</v>
      </c>
      <c r="F34" s="495">
        <v>6594</v>
      </c>
      <c r="G34" s="495">
        <v>6854</v>
      </c>
      <c r="H34" s="2">
        <f>SUM(J34:P34)</f>
        <v>67497</v>
      </c>
      <c r="I34" s="2"/>
      <c r="J34" s="495">
        <v>6709</v>
      </c>
      <c r="K34" s="2">
        <v>5752</v>
      </c>
      <c r="L34" s="495">
        <v>6432</v>
      </c>
      <c r="M34" s="495">
        <v>7362</v>
      </c>
      <c r="N34" s="495">
        <v>14864</v>
      </c>
      <c r="O34" s="495">
        <v>13102</v>
      </c>
      <c r="P34" s="495">
        <v>13276</v>
      </c>
      <c r="Q34" s="496">
        <v>17369</v>
      </c>
    </row>
    <row r="35" spans="1:17" ht="21" customHeight="1" thickBot="1">
      <c r="A35" s="212"/>
      <c r="B35" s="213"/>
      <c r="C35" s="214"/>
      <c r="D35" s="195"/>
      <c r="E35" s="195"/>
      <c r="F35" s="195"/>
      <c r="G35" s="195"/>
      <c r="H35" s="195"/>
      <c r="I35" s="195"/>
      <c r="J35" s="215"/>
      <c r="K35" s="215"/>
      <c r="L35" s="215"/>
      <c r="M35" s="215"/>
      <c r="N35" s="215"/>
      <c r="O35" s="215"/>
      <c r="P35" s="215"/>
      <c r="Q35" s="498"/>
    </row>
    <row r="36" spans="1:17" ht="15" customHeight="1">
      <c r="P36" s="5"/>
      <c r="Q36" s="7" t="s">
        <v>276</v>
      </c>
    </row>
    <row r="37" spans="1:17" ht="15" customHeight="1">
      <c r="A37" s="5" t="s">
        <v>422</v>
      </c>
    </row>
    <row r="38" spans="1:17" ht="15" customHeight="1">
      <c r="A38" s="5" t="s">
        <v>423</v>
      </c>
      <c r="J38" s="5" t="s">
        <v>424</v>
      </c>
    </row>
    <row r="39" spans="1:17" ht="15" customHeight="1">
      <c r="A39" s="5" t="s">
        <v>425</v>
      </c>
      <c r="J39" s="5" t="s">
        <v>426</v>
      </c>
    </row>
    <row r="40" spans="1:17" ht="15" customHeight="1">
      <c r="A40" s="5" t="s">
        <v>427</v>
      </c>
      <c r="J40" s="1"/>
      <c r="K40" s="1"/>
      <c r="L40" s="1"/>
      <c r="M40" s="1"/>
      <c r="N40" s="1"/>
      <c r="O40" s="1"/>
      <c r="P40" s="1"/>
    </row>
  </sheetData>
  <sheetProtection selectLockedCells="1" selectUnlockedCells="1"/>
  <mergeCells count="101">
    <mergeCell ref="J1:Q1"/>
    <mergeCell ref="L10:M10"/>
    <mergeCell ref="G7:H8"/>
    <mergeCell ref="C7:F8"/>
    <mergeCell ref="L7:M8"/>
    <mergeCell ref="N7:O7"/>
    <mergeCell ref="K7:K8"/>
    <mergeCell ref="A4:H4"/>
    <mergeCell ref="J4:Q4"/>
    <mergeCell ref="J5:Q5"/>
    <mergeCell ref="A7:B9"/>
    <mergeCell ref="P7:Q7"/>
    <mergeCell ref="G9:H9"/>
    <mergeCell ref="J7:J8"/>
    <mergeCell ref="C9:D9"/>
    <mergeCell ref="E9:F9"/>
    <mergeCell ref="G10:H10"/>
    <mergeCell ref="E10:F10"/>
    <mergeCell ref="A10:B10"/>
    <mergeCell ref="C10:D10"/>
    <mergeCell ref="L11:M11"/>
    <mergeCell ref="N8:O8"/>
    <mergeCell ref="P8:Q8"/>
    <mergeCell ref="N9:O9"/>
    <mergeCell ref="P9:Q9"/>
    <mergeCell ref="P11:Q11"/>
    <mergeCell ref="P10:Q10"/>
    <mergeCell ref="N10:O10"/>
    <mergeCell ref="N11:O11"/>
    <mergeCell ref="P13:Q13"/>
    <mergeCell ref="A12:B12"/>
    <mergeCell ref="L12:M12"/>
    <mergeCell ref="E12:F12"/>
    <mergeCell ref="G12:H12"/>
    <mergeCell ref="C12:D12"/>
    <mergeCell ref="P12:Q12"/>
    <mergeCell ref="N12:O12"/>
    <mergeCell ref="A11:B11"/>
    <mergeCell ref="C11:D11"/>
    <mergeCell ref="E11:F11"/>
    <mergeCell ref="A13:B13"/>
    <mergeCell ref="C13:D13"/>
    <mergeCell ref="E13:F13"/>
    <mergeCell ref="G13:H13"/>
    <mergeCell ref="L13:M13"/>
    <mergeCell ref="N13:O13"/>
    <mergeCell ref="G11:H11"/>
    <mergeCell ref="A15:B15"/>
    <mergeCell ref="A14:B14"/>
    <mergeCell ref="C14:D14"/>
    <mergeCell ref="A18:B18"/>
    <mergeCell ref="C18:D18"/>
    <mergeCell ref="E18:F18"/>
    <mergeCell ref="P16:Q16"/>
    <mergeCell ref="P15:Q15"/>
    <mergeCell ref="E16:F16"/>
    <mergeCell ref="L14:M14"/>
    <mergeCell ref="N14:O14"/>
    <mergeCell ref="P14:Q14"/>
    <mergeCell ref="G14:H14"/>
    <mergeCell ref="G15:H15"/>
    <mergeCell ref="L15:M15"/>
    <mergeCell ref="N16:O16"/>
    <mergeCell ref="N15:O15"/>
    <mergeCell ref="A16:B16"/>
    <mergeCell ref="C16:D16"/>
    <mergeCell ref="A17:B17"/>
    <mergeCell ref="C17:D17"/>
    <mergeCell ref="E17:F17"/>
    <mergeCell ref="G16:H16"/>
    <mergeCell ref="L16:M16"/>
    <mergeCell ref="E14:F14"/>
    <mergeCell ref="C15:D15"/>
    <mergeCell ref="E15:F15"/>
    <mergeCell ref="P17:Q17"/>
    <mergeCell ref="G17:H17"/>
    <mergeCell ref="N19:O19"/>
    <mergeCell ref="P19:Q19"/>
    <mergeCell ref="L18:M18"/>
    <mergeCell ref="N18:O18"/>
    <mergeCell ref="P18:Q18"/>
    <mergeCell ref="L19:M19"/>
    <mergeCell ref="G19:H19"/>
    <mergeCell ref="L17:M17"/>
    <mergeCell ref="G18:H18"/>
    <mergeCell ref="N17:O17"/>
    <mergeCell ref="A31:B31"/>
    <mergeCell ref="A34:B34"/>
    <mergeCell ref="A20:B20"/>
    <mergeCell ref="C20:D20"/>
    <mergeCell ref="D24:G25"/>
    <mergeCell ref="A28:B28"/>
    <mergeCell ref="A19:B19"/>
    <mergeCell ref="C19:D19"/>
    <mergeCell ref="J24:P25"/>
    <mergeCell ref="E20:F20"/>
    <mergeCell ref="G20:H20"/>
    <mergeCell ref="L20:M20"/>
    <mergeCell ref="N20:O20"/>
    <mergeCell ref="P20:Q20"/>
    <mergeCell ref="E19:F1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&amp;R&amp;"ＭＳ 明朝,標準"&amp;10人　口</oddHeader>
    <oddFooter>&amp;C&amp;"ＭＳ 明朝,標準"&amp;10&amp;A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2:L65529"/>
  <sheetViews>
    <sheetView view="pageBreakPreview" topLeftCell="A34" zoomScaleNormal="120" zoomScaleSheetLayoutView="100" workbookViewId="0">
      <selection activeCell="E7" sqref="E7"/>
    </sheetView>
  </sheetViews>
  <sheetFormatPr defaultRowHeight="5.0999999999999996" customHeight="1"/>
  <cols>
    <col min="1" max="1" width="15" style="6" customWidth="1"/>
    <col min="2" max="6" width="8.125" style="6" customWidth="1"/>
    <col min="7" max="8" width="7.375" style="6" customWidth="1"/>
    <col min="9" max="11" width="7.25" style="6" customWidth="1"/>
    <col min="12" max="16384" width="9" style="6"/>
  </cols>
  <sheetData>
    <row r="2" spans="1:12" ht="15" customHeight="1" thickBot="1">
      <c r="A2" s="5" t="s">
        <v>428</v>
      </c>
      <c r="J2" s="5"/>
      <c r="K2" s="7" t="s">
        <v>647</v>
      </c>
      <c r="L2" s="128"/>
    </row>
    <row r="3" spans="1:12" ht="24.95" customHeight="1">
      <c r="A3" s="882" t="s">
        <v>545</v>
      </c>
      <c r="B3" s="824"/>
      <c r="C3" s="784" t="s">
        <v>429</v>
      </c>
      <c r="D3" s="784"/>
      <c r="E3" s="784"/>
      <c r="F3" s="784"/>
      <c r="G3" s="784"/>
      <c r="H3" s="784"/>
      <c r="I3" s="363" t="s">
        <v>430</v>
      </c>
      <c r="J3" s="363" t="s">
        <v>431</v>
      </c>
      <c r="K3" s="908" t="s">
        <v>432</v>
      </c>
    </row>
    <row r="4" spans="1:12" ht="24.95" customHeight="1">
      <c r="A4" s="819"/>
      <c r="B4" s="859"/>
      <c r="C4" s="781"/>
      <c r="D4" s="781"/>
      <c r="E4" s="781"/>
      <c r="F4" s="781"/>
      <c r="G4" s="781"/>
      <c r="H4" s="781"/>
      <c r="I4" s="99" t="s">
        <v>433</v>
      </c>
      <c r="J4" s="99" t="s">
        <v>434</v>
      </c>
      <c r="K4" s="909"/>
    </row>
    <row r="5" spans="1:12" ht="24.95" customHeight="1">
      <c r="A5" s="883"/>
      <c r="B5" s="826"/>
      <c r="C5" s="4" t="s">
        <v>36</v>
      </c>
      <c r="D5" s="4" t="s">
        <v>435</v>
      </c>
      <c r="E5" s="4" t="s">
        <v>436</v>
      </c>
      <c r="F5" s="4" t="s">
        <v>437</v>
      </c>
      <c r="G5" s="4" t="s">
        <v>438</v>
      </c>
      <c r="H5" s="4" t="s">
        <v>439</v>
      </c>
      <c r="I5" s="100" t="s">
        <v>440</v>
      </c>
      <c r="J5" s="100" t="s">
        <v>441</v>
      </c>
      <c r="K5" s="364" t="s">
        <v>441</v>
      </c>
    </row>
    <row r="6" spans="1:12" ht="21" customHeight="1">
      <c r="A6" s="365" t="s">
        <v>525</v>
      </c>
      <c r="B6" s="92" t="s">
        <v>522</v>
      </c>
      <c r="C6" s="261">
        <f>SUM(D6:H6)</f>
        <v>483193</v>
      </c>
      <c r="D6" s="2">
        <v>250228</v>
      </c>
      <c r="E6" s="2">
        <v>31263</v>
      </c>
      <c r="F6" s="2">
        <v>182223</v>
      </c>
      <c r="G6" s="2">
        <v>10756</v>
      </c>
      <c r="H6" s="2">
        <v>8723</v>
      </c>
      <c r="I6" s="2">
        <v>3788</v>
      </c>
      <c r="J6" s="407">
        <v>75.7</v>
      </c>
      <c r="K6" s="408">
        <v>27.6</v>
      </c>
    </row>
    <row r="7" spans="1:12" ht="21" customHeight="1">
      <c r="A7" s="206" t="s">
        <v>523</v>
      </c>
      <c r="B7" s="242" t="s">
        <v>524</v>
      </c>
      <c r="C7" s="97">
        <f>SUM(D7:H7)</f>
        <v>515195</v>
      </c>
      <c r="D7" s="2">
        <v>255305</v>
      </c>
      <c r="E7" s="2">
        <v>30445</v>
      </c>
      <c r="F7" s="2">
        <v>206929</v>
      </c>
      <c r="G7" s="2">
        <v>11335</v>
      </c>
      <c r="H7" s="2">
        <v>11181</v>
      </c>
      <c r="I7" s="2">
        <v>3989</v>
      </c>
      <c r="J7" s="409" t="s">
        <v>156</v>
      </c>
      <c r="K7" s="410" t="s">
        <v>156</v>
      </c>
    </row>
    <row r="8" spans="1:12" ht="20.100000000000001" customHeight="1">
      <c r="A8" s="910"/>
      <c r="B8" s="911"/>
      <c r="C8" s="97"/>
      <c r="D8" s="2"/>
      <c r="E8" s="2"/>
      <c r="F8" s="2"/>
      <c r="G8" s="2" t="s">
        <v>33</v>
      </c>
      <c r="H8" s="2" t="s">
        <v>33</v>
      </c>
      <c r="I8" s="2" t="s">
        <v>33</v>
      </c>
      <c r="J8" s="407" t="s">
        <v>33</v>
      </c>
      <c r="K8" s="408" t="s">
        <v>33</v>
      </c>
    </row>
    <row r="9" spans="1:12" ht="21" customHeight="1">
      <c r="A9" s="906" t="s">
        <v>408</v>
      </c>
      <c r="B9" s="907"/>
      <c r="C9" s="97">
        <f>SUM(D9:H9)</f>
        <v>128519</v>
      </c>
      <c r="D9" s="2">
        <v>50464</v>
      </c>
      <c r="E9" s="2">
        <v>8106</v>
      </c>
      <c r="F9" s="2">
        <v>63541</v>
      </c>
      <c r="G9" s="2">
        <v>3310</v>
      </c>
      <c r="H9" s="2">
        <v>3098</v>
      </c>
      <c r="I9" s="2">
        <v>702</v>
      </c>
      <c r="J9" s="409" t="s">
        <v>156</v>
      </c>
      <c r="K9" s="410" t="s">
        <v>156</v>
      </c>
    </row>
    <row r="10" spans="1:12" ht="21" customHeight="1">
      <c r="A10" s="906" t="s">
        <v>219</v>
      </c>
      <c r="B10" s="907"/>
      <c r="C10" s="97">
        <f t="shared" ref="C10:C18" si="0">SUM(D10:H10)</f>
        <v>36236</v>
      </c>
      <c r="D10" s="2">
        <v>14803</v>
      </c>
      <c r="E10" s="2">
        <v>1114</v>
      </c>
      <c r="F10" s="2">
        <v>19166</v>
      </c>
      <c r="G10" s="2">
        <v>463</v>
      </c>
      <c r="H10" s="2">
        <v>690</v>
      </c>
      <c r="I10" s="2">
        <v>96</v>
      </c>
      <c r="J10" s="409" t="s">
        <v>156</v>
      </c>
      <c r="K10" s="410" t="s">
        <v>156</v>
      </c>
    </row>
    <row r="11" spans="1:12" ht="21" customHeight="1">
      <c r="A11" s="906" t="s">
        <v>409</v>
      </c>
      <c r="B11" s="907"/>
      <c r="C11" s="97">
        <f t="shared" si="0"/>
        <v>18874</v>
      </c>
      <c r="D11" s="2">
        <v>8768</v>
      </c>
      <c r="E11" s="2">
        <v>1246</v>
      </c>
      <c r="F11" s="2">
        <v>7490</v>
      </c>
      <c r="G11" s="2">
        <v>975</v>
      </c>
      <c r="H11" s="2">
        <v>395</v>
      </c>
      <c r="I11" s="2">
        <v>319</v>
      </c>
      <c r="J11" s="409" t="s">
        <v>156</v>
      </c>
      <c r="K11" s="410" t="s">
        <v>156</v>
      </c>
    </row>
    <row r="12" spans="1:12" ht="21" customHeight="1">
      <c r="A12" s="914" t="s">
        <v>410</v>
      </c>
      <c r="B12" s="915"/>
      <c r="C12" s="185">
        <f t="shared" si="0"/>
        <v>40694</v>
      </c>
      <c r="D12" s="71">
        <v>16933</v>
      </c>
      <c r="E12" s="71">
        <v>1452</v>
      </c>
      <c r="F12" s="71">
        <v>20484</v>
      </c>
      <c r="G12" s="71">
        <v>1004</v>
      </c>
      <c r="H12" s="71">
        <v>821</v>
      </c>
      <c r="I12" s="71">
        <v>164</v>
      </c>
      <c r="J12" s="409" t="s">
        <v>156</v>
      </c>
      <c r="K12" s="410" t="s">
        <v>156</v>
      </c>
    </row>
    <row r="13" spans="1:12" ht="21" customHeight="1">
      <c r="A13" s="906" t="s">
        <v>411</v>
      </c>
      <c r="B13" s="907"/>
      <c r="C13" s="97">
        <f t="shared" si="0"/>
        <v>24013</v>
      </c>
      <c r="D13" s="2">
        <v>10688</v>
      </c>
      <c r="E13" s="2">
        <v>1636</v>
      </c>
      <c r="F13" s="2">
        <v>10757</v>
      </c>
      <c r="G13" s="2">
        <v>552</v>
      </c>
      <c r="H13" s="2">
        <v>380</v>
      </c>
      <c r="I13" s="2">
        <v>197</v>
      </c>
      <c r="J13" s="409" t="s">
        <v>156</v>
      </c>
      <c r="K13" s="410" t="s">
        <v>156</v>
      </c>
    </row>
    <row r="14" spans="1:12" ht="21" customHeight="1">
      <c r="A14" s="906" t="s">
        <v>412</v>
      </c>
      <c r="B14" s="907"/>
      <c r="C14" s="97">
        <f t="shared" si="0"/>
        <v>19147</v>
      </c>
      <c r="D14" s="2">
        <v>10049</v>
      </c>
      <c r="E14" s="2">
        <v>1598</v>
      </c>
      <c r="F14" s="2">
        <v>6504</v>
      </c>
      <c r="G14" s="2">
        <v>776</v>
      </c>
      <c r="H14" s="2">
        <v>220</v>
      </c>
      <c r="I14" s="2">
        <v>41</v>
      </c>
      <c r="J14" s="409" t="s">
        <v>156</v>
      </c>
      <c r="K14" s="410" t="s">
        <v>156</v>
      </c>
    </row>
    <row r="15" spans="1:12" ht="21" customHeight="1">
      <c r="A15" s="906" t="s">
        <v>413</v>
      </c>
      <c r="B15" s="907"/>
      <c r="C15" s="28">
        <f t="shared" si="0"/>
        <v>47759</v>
      </c>
      <c r="D15" s="3">
        <v>22454</v>
      </c>
      <c r="E15" s="2">
        <v>2850</v>
      </c>
      <c r="F15" s="2">
        <v>20776</v>
      </c>
      <c r="G15" s="2">
        <v>425</v>
      </c>
      <c r="H15" s="2">
        <v>1254</v>
      </c>
      <c r="I15" s="2">
        <v>183</v>
      </c>
      <c r="J15" s="409" t="s">
        <v>156</v>
      </c>
      <c r="K15" s="410" t="s">
        <v>156</v>
      </c>
    </row>
    <row r="16" spans="1:12" ht="21" customHeight="1">
      <c r="A16" s="906" t="s">
        <v>231</v>
      </c>
      <c r="B16" s="907"/>
      <c r="C16" s="97">
        <f t="shared" si="0"/>
        <v>19270</v>
      </c>
      <c r="D16" s="2">
        <v>9732</v>
      </c>
      <c r="E16" s="2">
        <v>1734</v>
      </c>
      <c r="F16" s="2">
        <v>6810</v>
      </c>
      <c r="G16" s="2">
        <v>679</v>
      </c>
      <c r="H16" s="2">
        <v>315</v>
      </c>
      <c r="I16" s="2">
        <v>29</v>
      </c>
      <c r="J16" s="409" t="s">
        <v>156</v>
      </c>
      <c r="K16" s="410" t="s">
        <v>156</v>
      </c>
    </row>
    <row r="17" spans="1:12" ht="21" customHeight="1">
      <c r="A17" s="906" t="s">
        <v>215</v>
      </c>
      <c r="B17" s="907"/>
      <c r="C17" s="97">
        <f t="shared" si="0"/>
        <v>38045</v>
      </c>
      <c r="D17" s="2">
        <v>23475</v>
      </c>
      <c r="E17" s="2">
        <v>1927</v>
      </c>
      <c r="F17" s="2">
        <v>11558</v>
      </c>
      <c r="G17" s="2">
        <v>387</v>
      </c>
      <c r="H17" s="2">
        <v>698</v>
      </c>
      <c r="I17" s="2">
        <v>232</v>
      </c>
      <c r="J17" s="409" t="s">
        <v>156</v>
      </c>
      <c r="K17" s="410" t="s">
        <v>156</v>
      </c>
    </row>
    <row r="18" spans="1:12" ht="21" customHeight="1" thickBot="1">
      <c r="A18" s="865" t="s">
        <v>217</v>
      </c>
      <c r="B18" s="866"/>
      <c r="C18" s="214">
        <f t="shared" si="0"/>
        <v>20877</v>
      </c>
      <c r="D18" s="195">
        <v>12035</v>
      </c>
      <c r="E18" s="195">
        <v>2313</v>
      </c>
      <c r="F18" s="195">
        <v>5637</v>
      </c>
      <c r="G18" s="195">
        <v>700</v>
      </c>
      <c r="H18" s="195">
        <v>192</v>
      </c>
      <c r="I18" s="195">
        <v>267</v>
      </c>
      <c r="J18" s="411" t="s">
        <v>156</v>
      </c>
      <c r="K18" s="412" t="s">
        <v>156</v>
      </c>
    </row>
    <row r="19" spans="1:12" ht="15" customHeight="1">
      <c r="A19" s="916" t="s">
        <v>652</v>
      </c>
      <c r="B19" s="916"/>
      <c r="C19" s="916"/>
      <c r="D19" s="916"/>
      <c r="E19" s="916"/>
      <c r="F19" s="916"/>
      <c r="G19" s="916"/>
      <c r="H19" s="916"/>
      <c r="K19" s="7" t="s">
        <v>276</v>
      </c>
    </row>
    <row r="20" spans="1:12" ht="19.5" customHeight="1">
      <c r="A20" s="5"/>
    </row>
    <row r="21" spans="1:12" ht="15" customHeight="1" thickBot="1">
      <c r="A21" s="5" t="s">
        <v>442</v>
      </c>
      <c r="K21" s="7" t="s">
        <v>647</v>
      </c>
    </row>
    <row r="22" spans="1:12" ht="24.95" customHeight="1">
      <c r="A22" s="912" t="s">
        <v>443</v>
      </c>
      <c r="B22" s="784" t="s">
        <v>444</v>
      </c>
      <c r="C22" s="784"/>
      <c r="D22" s="784" t="s">
        <v>445</v>
      </c>
      <c r="E22" s="784"/>
      <c r="F22" s="784" t="s">
        <v>446</v>
      </c>
      <c r="G22" s="784"/>
      <c r="H22" s="784"/>
      <c r="I22" s="784"/>
      <c r="J22" s="822" t="s">
        <v>432</v>
      </c>
      <c r="K22" s="901"/>
    </row>
    <row r="23" spans="1:12" ht="24.95" customHeight="1">
      <c r="A23" s="913"/>
      <c r="B23" s="834" t="s">
        <v>27</v>
      </c>
      <c r="C23" s="905" t="s">
        <v>28</v>
      </c>
      <c r="D23" s="834" t="s">
        <v>27</v>
      </c>
      <c r="E23" s="905" t="s">
        <v>28</v>
      </c>
      <c r="F23" s="781" t="s">
        <v>447</v>
      </c>
      <c r="G23" s="781"/>
      <c r="H23" s="834" t="s">
        <v>448</v>
      </c>
      <c r="I23" s="834"/>
      <c r="J23" s="834" t="s">
        <v>448</v>
      </c>
      <c r="K23" s="858"/>
    </row>
    <row r="24" spans="1:12" ht="24.95" customHeight="1">
      <c r="A24" s="913"/>
      <c r="B24" s="834"/>
      <c r="C24" s="905"/>
      <c r="D24" s="834"/>
      <c r="E24" s="905"/>
      <c r="F24" s="10" t="s">
        <v>449</v>
      </c>
      <c r="G24" s="129" t="s">
        <v>450</v>
      </c>
      <c r="H24" s="4" t="s">
        <v>449</v>
      </c>
      <c r="I24" s="130" t="s">
        <v>450</v>
      </c>
      <c r="J24" s="10" t="s">
        <v>449</v>
      </c>
      <c r="K24" s="368" t="s">
        <v>450</v>
      </c>
      <c r="L24" s="111"/>
    </row>
    <row r="25" spans="1:12" ht="30" customHeight="1">
      <c r="A25" s="367" t="s">
        <v>440</v>
      </c>
      <c r="B25" s="131">
        <v>38261</v>
      </c>
      <c r="C25" s="132">
        <v>40858</v>
      </c>
      <c r="D25" s="132">
        <v>104644</v>
      </c>
      <c r="E25" s="132">
        <v>108667</v>
      </c>
      <c r="F25" s="133">
        <v>2.74</v>
      </c>
      <c r="G25" s="133">
        <f t="shared" ref="G25:G32" si="1">E25/C25</f>
        <v>2.65962602183171</v>
      </c>
      <c r="H25" s="134" t="s">
        <v>156</v>
      </c>
      <c r="I25" s="413" t="s">
        <v>156</v>
      </c>
      <c r="J25" s="413" t="s">
        <v>156</v>
      </c>
      <c r="K25" s="414" t="s">
        <v>156</v>
      </c>
      <c r="L25" s="111"/>
    </row>
    <row r="26" spans="1:12" ht="30" customHeight="1">
      <c r="A26" s="366" t="s">
        <v>526</v>
      </c>
      <c r="B26" s="12">
        <v>38186</v>
      </c>
      <c r="C26" s="13">
        <v>40694</v>
      </c>
      <c r="D26" s="13">
        <v>104503</v>
      </c>
      <c r="E26" s="13">
        <v>108370</v>
      </c>
      <c r="F26" s="135">
        <v>2.74</v>
      </c>
      <c r="G26" s="135">
        <f t="shared" si="1"/>
        <v>2.6630461493094804</v>
      </c>
      <c r="H26" s="135">
        <v>69.900000000000006</v>
      </c>
      <c r="I26" s="409" t="s">
        <v>156</v>
      </c>
      <c r="J26" s="415">
        <v>25.5</v>
      </c>
      <c r="K26" s="410" t="s">
        <v>156</v>
      </c>
      <c r="L26" s="111"/>
    </row>
    <row r="27" spans="1:12" ht="30" customHeight="1">
      <c r="A27" s="366" t="s">
        <v>451</v>
      </c>
      <c r="B27" s="12">
        <v>16350</v>
      </c>
      <c r="C27" s="13">
        <v>16933</v>
      </c>
      <c r="D27" s="13">
        <v>50555</v>
      </c>
      <c r="E27" s="13">
        <v>49996</v>
      </c>
      <c r="F27" s="135">
        <v>3.1</v>
      </c>
      <c r="G27" s="135">
        <f t="shared" si="1"/>
        <v>2.952577806649737</v>
      </c>
      <c r="H27" s="135">
        <v>101.8</v>
      </c>
      <c r="I27" s="409" t="s">
        <v>156</v>
      </c>
      <c r="J27" s="415">
        <v>32.9</v>
      </c>
      <c r="K27" s="410" t="s">
        <v>156</v>
      </c>
      <c r="L27" s="111"/>
    </row>
    <row r="28" spans="1:12" ht="30" customHeight="1">
      <c r="A28" s="366" t="s">
        <v>452</v>
      </c>
      <c r="B28" s="12">
        <v>1448</v>
      </c>
      <c r="C28" s="13">
        <v>1452</v>
      </c>
      <c r="D28" s="13">
        <v>4696</v>
      </c>
      <c r="E28" s="13">
        <v>4309</v>
      </c>
      <c r="F28" s="135">
        <v>3.2</v>
      </c>
      <c r="G28" s="135">
        <f t="shared" si="1"/>
        <v>2.9676308539944904</v>
      </c>
      <c r="H28" s="135">
        <v>59.7</v>
      </c>
      <c r="I28" s="409" t="s">
        <v>156</v>
      </c>
      <c r="J28" s="415">
        <v>18.399999999999999</v>
      </c>
      <c r="K28" s="410" t="s">
        <v>156</v>
      </c>
      <c r="L28" s="111"/>
    </row>
    <row r="29" spans="1:12" ht="30" customHeight="1">
      <c r="A29" s="366" t="s">
        <v>453</v>
      </c>
      <c r="B29" s="12">
        <v>18709</v>
      </c>
      <c r="C29" s="13">
        <v>20484</v>
      </c>
      <c r="D29" s="13">
        <v>45070</v>
      </c>
      <c r="E29" s="13">
        <v>49374</v>
      </c>
      <c r="F29" s="135">
        <v>2.4</v>
      </c>
      <c r="G29" s="135">
        <f t="shared" si="1"/>
        <v>2.4103690685413004</v>
      </c>
      <c r="H29" s="135">
        <v>44.3</v>
      </c>
      <c r="I29" s="409" t="s">
        <v>156</v>
      </c>
      <c r="J29" s="415">
        <v>18.399999999999999</v>
      </c>
      <c r="K29" s="410" t="s">
        <v>156</v>
      </c>
      <c r="L29" s="111"/>
    </row>
    <row r="30" spans="1:12" ht="30" customHeight="1">
      <c r="A30" s="366" t="s">
        <v>454</v>
      </c>
      <c r="B30" s="12">
        <v>1121</v>
      </c>
      <c r="C30" s="13">
        <v>1004</v>
      </c>
      <c r="D30" s="13">
        <v>2854</v>
      </c>
      <c r="E30" s="13">
        <v>2497</v>
      </c>
      <c r="F30" s="135">
        <v>2.6</v>
      </c>
      <c r="G30" s="135">
        <f t="shared" si="1"/>
        <v>2.487051792828685</v>
      </c>
      <c r="H30" s="135">
        <v>56.4</v>
      </c>
      <c r="I30" s="409" t="s">
        <v>156</v>
      </c>
      <c r="J30" s="415">
        <v>22.2</v>
      </c>
      <c r="K30" s="410" t="s">
        <v>156</v>
      </c>
      <c r="L30" s="111"/>
    </row>
    <row r="31" spans="1:12" ht="30" customHeight="1">
      <c r="A31" s="366" t="s">
        <v>455</v>
      </c>
      <c r="B31" s="12">
        <v>558</v>
      </c>
      <c r="C31" s="13">
        <v>821</v>
      </c>
      <c r="D31" s="13">
        <v>1328</v>
      </c>
      <c r="E31" s="13">
        <v>2194</v>
      </c>
      <c r="F31" s="135">
        <v>2.4</v>
      </c>
      <c r="G31" s="135">
        <f t="shared" si="1"/>
        <v>2.6723507917174176</v>
      </c>
      <c r="H31" s="135">
        <v>45</v>
      </c>
      <c r="I31" s="409" t="s">
        <v>156</v>
      </c>
      <c r="J31" s="415">
        <v>18.899999999999999</v>
      </c>
      <c r="K31" s="410" t="s">
        <v>156</v>
      </c>
      <c r="L31" s="111"/>
    </row>
    <row r="32" spans="1:12" ht="15" customHeight="1">
      <c r="A32" s="444" t="s">
        <v>589</v>
      </c>
      <c r="B32" s="838">
        <v>75</v>
      </c>
      <c r="C32" s="926">
        <v>164</v>
      </c>
      <c r="D32" s="926">
        <v>141</v>
      </c>
      <c r="E32" s="926">
        <v>297</v>
      </c>
      <c r="F32" s="924">
        <v>1.9</v>
      </c>
      <c r="G32" s="924">
        <f t="shared" si="1"/>
        <v>1.8109756097560976</v>
      </c>
      <c r="H32" s="922" t="s">
        <v>156</v>
      </c>
      <c r="I32" s="920" t="s">
        <v>156</v>
      </c>
      <c r="J32" s="920" t="s">
        <v>156</v>
      </c>
      <c r="K32" s="918" t="s">
        <v>156</v>
      </c>
      <c r="L32" s="111"/>
    </row>
    <row r="33" spans="1:12" ht="15" customHeight="1" thickBot="1">
      <c r="A33" s="416" t="s">
        <v>553</v>
      </c>
      <c r="B33" s="928"/>
      <c r="C33" s="927"/>
      <c r="D33" s="927"/>
      <c r="E33" s="927"/>
      <c r="F33" s="925"/>
      <c r="G33" s="925"/>
      <c r="H33" s="923"/>
      <c r="I33" s="921"/>
      <c r="J33" s="921"/>
      <c r="K33" s="919"/>
      <c r="L33" s="111"/>
    </row>
    <row r="34" spans="1:12" ht="15" customHeight="1">
      <c r="A34" s="5" t="s">
        <v>648</v>
      </c>
      <c r="K34" s="7" t="s">
        <v>276</v>
      </c>
    </row>
    <row r="35" spans="1:12" ht="15" customHeight="1">
      <c r="A35" s="5" t="s">
        <v>649</v>
      </c>
    </row>
    <row r="36" spans="1:12" s="369" customFormat="1" ht="15" customHeight="1">
      <c r="A36" s="917" t="s">
        <v>650</v>
      </c>
      <c r="B36" s="917"/>
      <c r="C36" s="917"/>
      <c r="D36" s="917"/>
      <c r="E36" s="917"/>
      <c r="F36" s="917"/>
      <c r="G36" s="917"/>
      <c r="H36" s="917"/>
      <c r="I36" s="917"/>
      <c r="J36" s="917"/>
      <c r="K36" s="917"/>
    </row>
    <row r="37" spans="1:12" s="369" customFormat="1" ht="13.5" customHeight="1">
      <c r="A37" s="369" t="s">
        <v>651</v>
      </c>
    </row>
    <row r="65529" ht="18.95" customHeight="1"/>
  </sheetData>
  <sheetProtection selectLockedCells="1" selectUnlockedCells="1"/>
  <mergeCells count="38">
    <mergeCell ref="A36:K36"/>
    <mergeCell ref="K32:K33"/>
    <mergeCell ref="J32:J33"/>
    <mergeCell ref="I32:I33"/>
    <mergeCell ref="H32:H33"/>
    <mergeCell ref="G32:G33"/>
    <mergeCell ref="F32:F33"/>
    <mergeCell ref="D32:D33"/>
    <mergeCell ref="E32:E33"/>
    <mergeCell ref="C32:C33"/>
    <mergeCell ref="B32:B33"/>
    <mergeCell ref="K3:K4"/>
    <mergeCell ref="B22:C22"/>
    <mergeCell ref="A13:B13"/>
    <mergeCell ref="A8:B8"/>
    <mergeCell ref="A14:B14"/>
    <mergeCell ref="A15:B15"/>
    <mergeCell ref="A22:A24"/>
    <mergeCell ref="A9:B9"/>
    <mergeCell ref="A10:B10"/>
    <mergeCell ref="A11:B11"/>
    <mergeCell ref="A12:B12"/>
    <mergeCell ref="C3:H4"/>
    <mergeCell ref="A19:H19"/>
    <mergeCell ref="A3:B5"/>
    <mergeCell ref="A18:B18"/>
    <mergeCell ref="D23:D24"/>
    <mergeCell ref="A16:B16"/>
    <mergeCell ref="A17:B17"/>
    <mergeCell ref="J22:K22"/>
    <mergeCell ref="D22:E22"/>
    <mergeCell ref="F22:I22"/>
    <mergeCell ref="J23:K23"/>
    <mergeCell ref="B23:B24"/>
    <mergeCell ref="C23:C24"/>
    <mergeCell ref="F23:G23"/>
    <mergeCell ref="H23:I23"/>
    <mergeCell ref="E23:E2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&amp;L&amp;"ＭＳ 明朝,標準"&amp;10人　口</oddHeader>
    <oddFooter>&amp;C&amp;"ＭＳ 明朝,標準"&amp;10&amp;A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24"/>
  </sheetPr>
  <dimension ref="A1:U295"/>
  <sheetViews>
    <sheetView tabSelected="1" view="pageBreakPreview" zoomScaleNormal="100" zoomScaleSheetLayoutView="100" workbookViewId="0">
      <selection activeCell="E93" sqref="E93"/>
    </sheetView>
  </sheetViews>
  <sheetFormatPr defaultRowHeight="13.5"/>
  <cols>
    <col min="1" max="6" width="15.375" style="447" customWidth="1"/>
    <col min="7" max="8" width="13.625" style="447" customWidth="1"/>
    <col min="9" max="9" width="14.375" style="447" customWidth="1"/>
    <col min="10" max="10" width="15.125" style="447" bestFit="1" customWidth="1"/>
    <col min="11" max="11" width="10.5" style="447" bestFit="1" customWidth="1"/>
    <col min="12" max="12" width="10.625" style="447" customWidth="1"/>
    <col min="13" max="16384" width="9" style="447"/>
  </cols>
  <sheetData>
    <row r="1" spans="1:15" ht="17.25">
      <c r="A1" s="445" t="s">
        <v>593</v>
      </c>
      <c r="B1" s="446"/>
      <c r="C1" s="446"/>
      <c r="D1" s="446"/>
      <c r="E1" s="446"/>
      <c r="F1" s="446"/>
    </row>
    <row r="2" spans="1:15" ht="14.25">
      <c r="A2" s="448"/>
      <c r="I2" s="485" t="s">
        <v>480</v>
      </c>
    </row>
    <row r="3" spans="1:15" ht="14.25">
      <c r="A3" s="448"/>
      <c r="H3" s="468" t="s">
        <v>0</v>
      </c>
      <c r="I3" s="614">
        <v>52077</v>
      </c>
      <c r="J3" s="614">
        <v>53408</v>
      </c>
      <c r="K3" s="615">
        <v>0.4</v>
      </c>
      <c r="L3" s="614">
        <f>I3+J3</f>
        <v>105485</v>
      </c>
      <c r="M3" s="614"/>
    </row>
    <row r="4" spans="1:15">
      <c r="A4" s="449"/>
      <c r="H4" s="469"/>
      <c r="I4" s="451" t="s">
        <v>590</v>
      </c>
      <c r="J4" s="451" t="s">
        <v>591</v>
      </c>
      <c r="K4" s="451" t="s">
        <v>592</v>
      </c>
      <c r="L4" s="613" t="s">
        <v>694</v>
      </c>
      <c r="M4" s="613" t="s">
        <v>695</v>
      </c>
    </row>
    <row r="5" spans="1:15">
      <c r="A5" s="449" t="s">
        <v>2</v>
      </c>
      <c r="D5" s="449" t="s">
        <v>3</v>
      </c>
      <c r="H5" s="470" t="str">
        <f>'-39-'!A6</f>
        <v>平成15年</v>
      </c>
      <c r="I5" s="452">
        <f>'-39-'!D6</f>
        <v>52453</v>
      </c>
      <c r="J5" s="452">
        <f>'-39-'!E6</f>
        <v>53768</v>
      </c>
      <c r="K5" s="618">
        <f t="shared" ref="K5:K14" si="0">M5/L5*100</f>
        <v>0.69289500192993858</v>
      </c>
      <c r="L5" s="616">
        <f t="shared" ref="L5:L14" si="1">I5+J5</f>
        <v>106221</v>
      </c>
      <c r="M5" s="612">
        <f>L5-L3</f>
        <v>736</v>
      </c>
    </row>
    <row r="6" spans="1:15">
      <c r="A6" s="449"/>
      <c r="D6" s="449"/>
      <c r="H6" s="646">
        <f>'-39-'!A7</f>
        <v>16</v>
      </c>
      <c r="I6" s="452">
        <f>'-39-'!D7</f>
        <v>52750</v>
      </c>
      <c r="J6" s="452">
        <f>'-39-'!E7</f>
        <v>54060</v>
      </c>
      <c r="K6" s="618">
        <f t="shared" si="0"/>
        <v>0.55144649377399124</v>
      </c>
      <c r="L6" s="612">
        <f t="shared" si="1"/>
        <v>106810</v>
      </c>
      <c r="M6" s="617">
        <f t="shared" ref="M6:M14" si="2">L6-L5</f>
        <v>589</v>
      </c>
    </row>
    <row r="7" spans="1:15">
      <c r="B7" s="453" t="s">
        <v>594</v>
      </c>
      <c r="E7" s="454"/>
      <c r="H7" s="645">
        <f>'-39-'!A8</f>
        <v>17</v>
      </c>
      <c r="I7" s="452">
        <f>'-39-'!D8</f>
        <v>53166</v>
      </c>
      <c r="J7" s="452">
        <f>'-39-'!E8</f>
        <v>54591</v>
      </c>
      <c r="K7" s="618">
        <f t="shared" si="0"/>
        <v>0.87882921759143262</v>
      </c>
      <c r="L7" s="612">
        <f t="shared" si="1"/>
        <v>107757</v>
      </c>
      <c r="M7" s="617">
        <f t="shared" si="2"/>
        <v>947</v>
      </c>
    </row>
    <row r="8" spans="1:15">
      <c r="H8" s="646">
        <f>'-39-'!A9</f>
        <v>18</v>
      </c>
      <c r="I8" s="452">
        <f>'-39-'!D9</f>
        <v>53484</v>
      </c>
      <c r="J8" s="452">
        <f>'-39-'!E9</f>
        <v>55147</v>
      </c>
      <c r="K8" s="618">
        <f t="shared" si="0"/>
        <v>0.80455855142638844</v>
      </c>
      <c r="L8" s="612">
        <f t="shared" si="1"/>
        <v>108631</v>
      </c>
      <c r="M8" s="617">
        <f t="shared" si="2"/>
        <v>874</v>
      </c>
    </row>
    <row r="9" spans="1:15">
      <c r="H9" s="645">
        <f>'-39-'!A10</f>
        <v>19</v>
      </c>
      <c r="I9" s="452">
        <f>'-39-'!D10</f>
        <v>53757</v>
      </c>
      <c r="J9" s="452">
        <f>'-39-'!E10</f>
        <v>55660</v>
      </c>
      <c r="K9" s="618">
        <f t="shared" si="0"/>
        <v>0.71835272398256211</v>
      </c>
      <c r="L9" s="612">
        <f t="shared" si="1"/>
        <v>109417</v>
      </c>
      <c r="M9" s="617">
        <f t="shared" si="2"/>
        <v>786</v>
      </c>
    </row>
    <row r="10" spans="1:15">
      <c r="H10" s="646">
        <f>'-39-'!A11</f>
        <v>20</v>
      </c>
      <c r="I10" s="452">
        <f>'-39-'!D11</f>
        <v>53971</v>
      </c>
      <c r="J10" s="452">
        <f>'-39-'!E11</f>
        <v>56135</v>
      </c>
      <c r="K10" s="618">
        <f t="shared" si="0"/>
        <v>0.62576063066499554</v>
      </c>
      <c r="L10" s="612">
        <f t="shared" si="1"/>
        <v>110106</v>
      </c>
      <c r="M10" s="617">
        <f t="shared" si="2"/>
        <v>689</v>
      </c>
    </row>
    <row r="11" spans="1:15">
      <c r="H11" s="645">
        <f>'-39-'!A12</f>
        <v>21</v>
      </c>
      <c r="I11" s="452">
        <f>'-39-'!D12</f>
        <v>54426</v>
      </c>
      <c r="J11" s="452">
        <f>'-39-'!E12</f>
        <v>56563</v>
      </c>
      <c r="K11" s="618">
        <f t="shared" si="0"/>
        <v>0.7955743361954789</v>
      </c>
      <c r="L11" s="612">
        <f t="shared" si="1"/>
        <v>110989</v>
      </c>
      <c r="M11" s="617">
        <f t="shared" si="2"/>
        <v>883</v>
      </c>
    </row>
    <row r="12" spans="1:15">
      <c r="H12" s="645">
        <f>'-39-'!A13</f>
        <v>22</v>
      </c>
      <c r="I12" s="452">
        <f>'-39-'!D13</f>
        <v>54612</v>
      </c>
      <c r="J12" s="452">
        <f>'-39-'!E13</f>
        <v>56983</v>
      </c>
      <c r="K12" s="618">
        <f t="shared" si="0"/>
        <v>0.54303508221694519</v>
      </c>
      <c r="L12" s="612">
        <f t="shared" si="1"/>
        <v>111595</v>
      </c>
      <c r="M12" s="617">
        <f t="shared" si="2"/>
        <v>606</v>
      </c>
    </row>
    <row r="13" spans="1:15">
      <c r="H13" s="645">
        <f>'-39-'!A14</f>
        <v>23</v>
      </c>
      <c r="I13" s="452">
        <f>'-39-'!D14</f>
        <v>54927</v>
      </c>
      <c r="J13" s="452">
        <f>'-39-'!E14</f>
        <v>57350</v>
      </c>
      <c r="K13" s="618">
        <f t="shared" si="0"/>
        <v>0.60742627608503974</v>
      </c>
      <c r="L13" s="612">
        <f t="shared" si="1"/>
        <v>112277</v>
      </c>
      <c r="M13" s="617">
        <f t="shared" si="2"/>
        <v>682</v>
      </c>
    </row>
    <row r="14" spans="1:15">
      <c r="H14" s="645">
        <f>'-39-'!A15</f>
        <v>24</v>
      </c>
      <c r="I14" s="611">
        <f>'-39-'!D15</f>
        <v>55780</v>
      </c>
      <c r="J14" s="611">
        <f>'-39-'!E15</f>
        <v>57965</v>
      </c>
      <c r="K14" s="618">
        <f t="shared" si="0"/>
        <v>1.2906061804914502</v>
      </c>
      <c r="L14" s="612">
        <f t="shared" si="1"/>
        <v>113745</v>
      </c>
      <c r="M14" s="617">
        <f t="shared" si="2"/>
        <v>1468</v>
      </c>
    </row>
    <row r="16" spans="1:15">
      <c r="H16" s="468" t="s">
        <v>1</v>
      </c>
      <c r="K16" s="455"/>
      <c r="L16" s="455"/>
      <c r="M16" s="455"/>
      <c r="N16" s="455"/>
      <c r="O16" s="455"/>
    </row>
    <row r="17" spans="8:15">
      <c r="H17" s="456" t="s">
        <v>595</v>
      </c>
      <c r="I17" s="467">
        <f>‐44‐!L6</f>
        <v>107</v>
      </c>
      <c r="J17" s="929"/>
      <c r="K17" s="929"/>
      <c r="L17" s="458"/>
      <c r="M17" s="455"/>
    </row>
    <row r="18" spans="8:15">
      <c r="H18" s="456" t="s">
        <v>596</v>
      </c>
      <c r="I18" s="467">
        <f>‐44‐!L7</f>
        <v>74</v>
      </c>
      <c r="J18" s="929"/>
      <c r="K18" s="929"/>
      <c r="L18" s="458"/>
      <c r="M18" s="455"/>
    </row>
    <row r="19" spans="8:15">
      <c r="H19" s="456" t="s">
        <v>696</v>
      </c>
      <c r="I19" s="467">
        <f>‐44‐!L8</f>
        <v>38</v>
      </c>
      <c r="J19" s="929"/>
      <c r="K19" s="929"/>
      <c r="L19" s="458"/>
      <c r="M19" s="455"/>
    </row>
    <row r="20" spans="8:15">
      <c r="H20" s="456" t="s">
        <v>597</v>
      </c>
      <c r="I20" s="467">
        <f>‐44‐!L9</f>
        <v>71</v>
      </c>
      <c r="J20" s="929"/>
      <c r="K20" s="929"/>
      <c r="L20" s="458"/>
      <c r="M20" s="455"/>
    </row>
    <row r="21" spans="8:15">
      <c r="H21" s="456" t="s">
        <v>456</v>
      </c>
      <c r="I21" s="467">
        <f>‐44‐!L10</f>
        <v>213</v>
      </c>
      <c r="J21" s="929"/>
      <c r="K21" s="929"/>
      <c r="L21" s="458"/>
      <c r="M21" s="455"/>
    </row>
    <row r="22" spans="8:15">
      <c r="H22" s="456" t="s">
        <v>598</v>
      </c>
      <c r="I22" s="467">
        <f>‐44‐!L11</f>
        <v>37</v>
      </c>
      <c r="J22" s="929"/>
      <c r="K22" s="929"/>
      <c r="L22" s="458"/>
      <c r="M22" s="455"/>
    </row>
    <row r="23" spans="8:15">
      <c r="H23" s="456" t="s">
        <v>599</v>
      </c>
      <c r="I23" s="467">
        <f>‐44‐!L12</f>
        <v>5</v>
      </c>
      <c r="J23" s="929"/>
      <c r="K23" s="929"/>
      <c r="L23" s="458"/>
      <c r="M23" s="455"/>
    </row>
    <row r="24" spans="8:15">
      <c r="H24" s="456" t="s">
        <v>600</v>
      </c>
      <c r="I24" s="467">
        <f>‐44‐!L13</f>
        <v>3</v>
      </c>
      <c r="J24" s="929"/>
      <c r="K24" s="929"/>
      <c r="L24" s="458"/>
      <c r="M24" s="455"/>
    </row>
    <row r="25" spans="8:15">
      <c r="H25" s="456" t="s">
        <v>601</v>
      </c>
      <c r="I25" s="467">
        <f>‐44‐!L14</f>
        <v>6</v>
      </c>
      <c r="J25" s="929"/>
      <c r="K25" s="929"/>
      <c r="L25" s="458"/>
      <c r="M25" s="455"/>
    </row>
    <row r="26" spans="8:15">
      <c r="H26" s="456" t="s">
        <v>602</v>
      </c>
      <c r="I26" s="467">
        <f>‐44‐!L15</f>
        <v>5</v>
      </c>
      <c r="J26" s="929"/>
      <c r="K26" s="929"/>
      <c r="L26" s="458"/>
      <c r="M26" s="455"/>
    </row>
    <row r="27" spans="8:15">
      <c r="H27" s="456" t="s">
        <v>603</v>
      </c>
      <c r="I27" s="467">
        <f>‐44‐!L16</f>
        <v>3</v>
      </c>
      <c r="J27" s="929"/>
      <c r="K27" s="929"/>
      <c r="L27" s="458"/>
      <c r="M27" s="455"/>
    </row>
    <row r="28" spans="8:15">
      <c r="H28" s="456" t="s">
        <v>604</v>
      </c>
      <c r="I28" s="467">
        <f>‐44‐!L17</f>
        <v>1</v>
      </c>
      <c r="J28" s="929"/>
      <c r="K28" s="929"/>
      <c r="L28" s="458"/>
      <c r="M28" s="455"/>
    </row>
    <row r="29" spans="8:15">
      <c r="H29" s="456" t="s">
        <v>605</v>
      </c>
      <c r="I29" s="467">
        <f>‐44‐!L18</f>
        <v>3</v>
      </c>
      <c r="J29" s="929"/>
      <c r="K29" s="929"/>
      <c r="L29" s="458"/>
      <c r="M29" s="455"/>
    </row>
    <row r="30" spans="8:15">
      <c r="H30" s="456" t="s">
        <v>606</v>
      </c>
      <c r="I30" s="467">
        <f>‐44‐!L19</f>
        <v>118</v>
      </c>
      <c r="J30" s="455"/>
      <c r="K30" s="455"/>
      <c r="L30" s="455"/>
      <c r="M30" s="455"/>
    </row>
    <row r="31" spans="8:15">
      <c r="K31" s="455"/>
      <c r="L31" s="455"/>
      <c r="M31" s="455"/>
      <c r="N31" s="455"/>
      <c r="O31" s="455"/>
    </row>
    <row r="32" spans="8:15">
      <c r="K32" s="455"/>
    </row>
    <row r="35" spans="1:10">
      <c r="H35" s="468" t="s">
        <v>4</v>
      </c>
      <c r="I35" s="471"/>
    </row>
    <row r="36" spans="1:10">
      <c r="A36" s="449" t="s">
        <v>607</v>
      </c>
      <c r="D36" s="459"/>
      <c r="H36" s="472" t="s">
        <v>608</v>
      </c>
      <c r="I36" s="472"/>
    </row>
    <row r="37" spans="1:10">
      <c r="H37" s="469" t="s">
        <v>590</v>
      </c>
      <c r="I37" s="469"/>
    </row>
    <row r="38" spans="1:10">
      <c r="H38" s="469" t="s">
        <v>609</v>
      </c>
      <c r="I38" s="619">
        <f>‐41‐!O38</f>
        <v>11142</v>
      </c>
    </row>
    <row r="39" spans="1:10">
      <c r="H39" s="469" t="s">
        <v>610</v>
      </c>
      <c r="I39" s="619">
        <f>‐41‐!O39</f>
        <v>37329</v>
      </c>
      <c r="J39" s="461"/>
    </row>
    <row r="40" spans="1:10">
      <c r="H40" s="469" t="s">
        <v>611</v>
      </c>
      <c r="I40" s="619">
        <f>‐41‐!O40</f>
        <v>7309</v>
      </c>
    </row>
    <row r="41" spans="1:10">
      <c r="H41" s="469"/>
      <c r="I41" s="473">
        <f>SUM(I38:I40)</f>
        <v>55780</v>
      </c>
    </row>
    <row r="42" spans="1:10">
      <c r="H42" s="471"/>
      <c r="I42" s="471"/>
      <c r="J42" s="461"/>
    </row>
    <row r="43" spans="1:10">
      <c r="H43" s="469" t="s">
        <v>591</v>
      </c>
      <c r="I43" s="469"/>
    </row>
    <row r="44" spans="1:10">
      <c r="H44" s="469" t="s">
        <v>609</v>
      </c>
      <c r="I44" s="619">
        <f>‐41‐!P38</f>
        <v>10598</v>
      </c>
    </row>
    <row r="45" spans="1:10">
      <c r="H45" s="469" t="s">
        <v>610</v>
      </c>
      <c r="I45" s="619">
        <f>‐41‐!P39</f>
        <v>38061</v>
      </c>
    </row>
    <row r="46" spans="1:10">
      <c r="H46" s="469" t="s">
        <v>611</v>
      </c>
      <c r="I46" s="619">
        <f>‐41‐!P40</f>
        <v>9306</v>
      </c>
    </row>
    <row r="47" spans="1:10">
      <c r="H47" s="469"/>
      <c r="I47" s="473">
        <f>SUM(I44:I46)</f>
        <v>57965</v>
      </c>
    </row>
    <row r="64" spans="1:1">
      <c r="A64" s="449" t="s">
        <v>612</v>
      </c>
    </row>
    <row r="65" spans="1:11">
      <c r="A65" s="449"/>
    </row>
    <row r="79" spans="1:11">
      <c r="H79" s="468" t="s">
        <v>12</v>
      </c>
    </row>
    <row r="80" spans="1:11">
      <c r="H80" s="469"/>
      <c r="I80" s="469" t="s">
        <v>613</v>
      </c>
      <c r="J80" s="469" t="s">
        <v>614</v>
      </c>
      <c r="K80" s="469" t="s">
        <v>615</v>
      </c>
    </row>
    <row r="81" spans="1:12">
      <c r="H81" s="486" t="str">
        <f>‐44‐!A31</f>
        <v>平成14年</v>
      </c>
      <c r="I81" s="452">
        <f t="shared" ref="I81:I91" si="3">J81+K81</f>
        <v>692</v>
      </c>
      <c r="J81" s="452">
        <f t="shared" ref="J81:J91" si="4">I94-J94</f>
        <v>1122</v>
      </c>
      <c r="K81" s="479">
        <f t="shared" ref="K81:K91" si="5">K94-L94</f>
        <v>-430</v>
      </c>
    </row>
    <row r="82" spans="1:12">
      <c r="H82" s="487">
        <v>15</v>
      </c>
      <c r="I82" s="452">
        <f t="shared" si="3"/>
        <v>736</v>
      </c>
      <c r="J82" s="452">
        <f t="shared" si="4"/>
        <v>1143</v>
      </c>
      <c r="K82" s="480">
        <f t="shared" si="5"/>
        <v>-407</v>
      </c>
      <c r="L82" s="137"/>
    </row>
    <row r="83" spans="1:12">
      <c r="H83" s="487">
        <v>16</v>
      </c>
      <c r="I83" s="463">
        <f t="shared" si="3"/>
        <v>589</v>
      </c>
      <c r="J83" s="463">
        <f t="shared" si="4"/>
        <v>1041</v>
      </c>
      <c r="K83" s="480">
        <f t="shared" si="5"/>
        <v>-452</v>
      </c>
    </row>
    <row r="84" spans="1:12">
      <c r="H84" s="487">
        <v>17</v>
      </c>
      <c r="I84" s="452">
        <f t="shared" si="3"/>
        <v>947</v>
      </c>
      <c r="J84" s="452">
        <f t="shared" si="4"/>
        <v>975</v>
      </c>
      <c r="K84" s="479">
        <f t="shared" si="5"/>
        <v>-28</v>
      </c>
    </row>
    <row r="85" spans="1:12">
      <c r="H85" s="487">
        <v>18</v>
      </c>
      <c r="I85" s="463">
        <f t="shared" si="3"/>
        <v>874</v>
      </c>
      <c r="J85" s="463">
        <f t="shared" si="4"/>
        <v>1022</v>
      </c>
      <c r="K85" s="480">
        <f t="shared" si="5"/>
        <v>-148</v>
      </c>
    </row>
    <row r="86" spans="1:12">
      <c r="H86" s="487">
        <v>19</v>
      </c>
      <c r="I86" s="463">
        <f t="shared" si="3"/>
        <v>786</v>
      </c>
      <c r="J86" s="463">
        <f t="shared" si="4"/>
        <v>908</v>
      </c>
      <c r="K86" s="480">
        <f t="shared" si="5"/>
        <v>-122</v>
      </c>
    </row>
    <row r="87" spans="1:12">
      <c r="H87" s="487">
        <v>20</v>
      </c>
      <c r="I87" s="463">
        <f t="shared" si="3"/>
        <v>689</v>
      </c>
      <c r="J87" s="463">
        <f t="shared" si="4"/>
        <v>957</v>
      </c>
      <c r="K87" s="480">
        <f t="shared" si="5"/>
        <v>-268</v>
      </c>
    </row>
    <row r="88" spans="1:12">
      <c r="H88" s="487">
        <v>21</v>
      </c>
      <c r="I88" s="463">
        <f t="shared" si="3"/>
        <v>883</v>
      </c>
      <c r="J88" s="463">
        <f t="shared" si="4"/>
        <v>967</v>
      </c>
      <c r="K88" s="480">
        <f t="shared" si="5"/>
        <v>-84</v>
      </c>
    </row>
    <row r="89" spans="1:12">
      <c r="H89" s="487">
        <v>22</v>
      </c>
      <c r="I89" s="463">
        <f t="shared" si="3"/>
        <v>657</v>
      </c>
      <c r="J89" s="463">
        <f t="shared" si="4"/>
        <v>853</v>
      </c>
      <c r="K89" s="480">
        <f t="shared" si="5"/>
        <v>-196</v>
      </c>
    </row>
    <row r="90" spans="1:12">
      <c r="H90" s="487">
        <v>23</v>
      </c>
      <c r="I90" s="463">
        <f t="shared" si="3"/>
        <v>727</v>
      </c>
      <c r="J90" s="463">
        <f t="shared" si="4"/>
        <v>859</v>
      </c>
      <c r="K90" s="480">
        <f t="shared" si="5"/>
        <v>-132</v>
      </c>
    </row>
    <row r="91" spans="1:12">
      <c r="H91" s="487">
        <v>24</v>
      </c>
      <c r="I91" s="481">
        <f t="shared" si="3"/>
        <v>1573</v>
      </c>
      <c r="J91" s="481">
        <f t="shared" si="4"/>
        <v>899</v>
      </c>
      <c r="K91" s="481">
        <f t="shared" si="5"/>
        <v>674</v>
      </c>
    </row>
    <row r="92" spans="1:12">
      <c r="H92" s="468" t="s">
        <v>11</v>
      </c>
    </row>
    <row r="93" spans="1:12">
      <c r="A93" s="449" t="s">
        <v>617</v>
      </c>
      <c r="H93" s="460"/>
      <c r="I93" s="460" t="s">
        <v>618</v>
      </c>
      <c r="J93" s="460" t="s">
        <v>619</v>
      </c>
      <c r="K93" s="460" t="s">
        <v>620</v>
      </c>
      <c r="L93" s="460" t="s">
        <v>621</v>
      </c>
    </row>
    <row r="94" spans="1:12">
      <c r="H94" s="483" t="str">
        <f>‐44‐!A31</f>
        <v>平成14年</v>
      </c>
      <c r="I94" s="452">
        <f>‐44‐!F31</f>
        <v>1559</v>
      </c>
      <c r="J94" s="452">
        <f>‐44‐!G30</f>
        <v>437</v>
      </c>
      <c r="K94" s="452">
        <f>‐44‐!I31</f>
        <v>6295</v>
      </c>
      <c r="L94" s="452">
        <f>‐44‐!J31</f>
        <v>6725</v>
      </c>
    </row>
    <row r="95" spans="1:12">
      <c r="H95" s="484">
        <v>15</v>
      </c>
      <c r="I95" s="463">
        <f>‐44‐!F32</f>
        <v>1621</v>
      </c>
      <c r="J95" s="452">
        <f>‐44‐!G32</f>
        <v>478</v>
      </c>
      <c r="K95" s="463">
        <f>‐44‐!I32</f>
        <v>6152</v>
      </c>
      <c r="L95" s="463">
        <f>‐44‐!J32</f>
        <v>6559</v>
      </c>
    </row>
    <row r="96" spans="1:12">
      <c r="H96" s="484">
        <v>16</v>
      </c>
      <c r="I96" s="452">
        <f>‐44‐!F33</f>
        <v>1542</v>
      </c>
      <c r="J96" s="463">
        <f>‐44‐!G33</f>
        <v>501</v>
      </c>
      <c r="K96" s="452">
        <f>‐44‐!I33</f>
        <v>6092</v>
      </c>
      <c r="L96" s="452">
        <f>‐44‐!J33</f>
        <v>6544</v>
      </c>
    </row>
    <row r="97" spans="8:12">
      <c r="H97" s="484">
        <v>17</v>
      </c>
      <c r="I97" s="463">
        <f>‐44‐!F34</f>
        <v>1478</v>
      </c>
      <c r="J97" s="452">
        <f>‐44‐!G34</f>
        <v>503</v>
      </c>
      <c r="K97" s="463">
        <f>‐44‐!I34</f>
        <v>6251</v>
      </c>
      <c r="L97" s="463">
        <f>‐44‐!J34</f>
        <v>6279</v>
      </c>
    </row>
    <row r="98" spans="8:12">
      <c r="H98" s="484">
        <v>18</v>
      </c>
      <c r="I98" s="463">
        <f>‐44‐!F35</f>
        <v>1525</v>
      </c>
      <c r="J98" s="463">
        <f>‐44‐!G35</f>
        <v>503</v>
      </c>
      <c r="K98" s="463">
        <f>‐44‐!I35</f>
        <v>6144</v>
      </c>
      <c r="L98" s="463">
        <f>‐44‐!J35</f>
        <v>6292</v>
      </c>
    </row>
    <row r="99" spans="8:12">
      <c r="H99" s="484">
        <v>19</v>
      </c>
      <c r="I99" s="463">
        <f>‐44‐!F36</f>
        <v>1503</v>
      </c>
      <c r="J99" s="463">
        <f>‐44‐!G36</f>
        <v>595</v>
      </c>
      <c r="K99" s="463">
        <f>‐44‐!I36</f>
        <v>6076</v>
      </c>
      <c r="L99" s="463">
        <f>‐44‐!J36</f>
        <v>6198</v>
      </c>
    </row>
    <row r="100" spans="8:12">
      <c r="H100" s="484">
        <v>20</v>
      </c>
      <c r="I100" s="463">
        <f>‐44‐!F37</f>
        <v>1516</v>
      </c>
      <c r="J100" s="463">
        <f>‐44‐!G37</f>
        <v>559</v>
      </c>
      <c r="K100" s="463">
        <f>‐44‐!I37</f>
        <v>5782</v>
      </c>
      <c r="L100" s="463">
        <f>‐44‐!J37</f>
        <v>6050</v>
      </c>
    </row>
    <row r="101" spans="8:12">
      <c r="H101" s="484">
        <v>21</v>
      </c>
      <c r="I101" s="463">
        <f>‐44‐!F38</f>
        <v>1544</v>
      </c>
      <c r="J101" s="463">
        <f>‐44‐!G38</f>
        <v>577</v>
      </c>
      <c r="K101" s="463">
        <f>‐44‐!I38</f>
        <v>5675</v>
      </c>
      <c r="L101" s="463">
        <f>‐44‐!J38</f>
        <v>5759</v>
      </c>
    </row>
    <row r="102" spans="8:12">
      <c r="H102" s="484">
        <v>22</v>
      </c>
      <c r="I102" s="463">
        <f>‐44‐!F39</f>
        <v>1507</v>
      </c>
      <c r="J102" s="463">
        <f>‐44‐!G39</f>
        <v>654</v>
      </c>
      <c r="K102" s="463">
        <f>‐44‐!I39</f>
        <v>5698</v>
      </c>
      <c r="L102" s="463">
        <f>‐44‐!J39</f>
        <v>5894</v>
      </c>
    </row>
    <row r="103" spans="8:12">
      <c r="H103" s="484">
        <v>23</v>
      </c>
      <c r="I103" s="463">
        <f>‐44‐!F40</f>
        <v>1542</v>
      </c>
      <c r="J103" s="463">
        <f>‐44‐!G40</f>
        <v>683</v>
      </c>
      <c r="K103" s="463">
        <f>‐44‐!I40</f>
        <v>5604</v>
      </c>
      <c r="L103" s="480">
        <f>‐44‐!J40</f>
        <v>5736</v>
      </c>
    </row>
    <row r="104" spans="8:12">
      <c r="H104" s="484">
        <v>24</v>
      </c>
      <c r="I104" s="482">
        <f>‐44‐!F41</f>
        <v>1540</v>
      </c>
      <c r="J104" s="482">
        <f>‐44‐!G41</f>
        <v>641</v>
      </c>
      <c r="K104" s="482">
        <f>‐44‐!I41</f>
        <v>6298</v>
      </c>
      <c r="L104" s="482">
        <f>‐44‐!J41</f>
        <v>5624</v>
      </c>
    </row>
    <row r="108" spans="8:12">
      <c r="I108" s="137"/>
      <c r="J108" s="137"/>
      <c r="K108" s="137"/>
      <c r="L108" s="137"/>
    </row>
    <row r="123" spans="1:11">
      <c r="A123" s="449" t="s">
        <v>622</v>
      </c>
      <c r="H123" s="468" t="s">
        <v>10</v>
      </c>
    </row>
    <row r="124" spans="1:11">
      <c r="H124" s="469"/>
      <c r="I124" s="485" t="s">
        <v>590</v>
      </c>
      <c r="J124" s="485" t="s">
        <v>591</v>
      </c>
      <c r="K124" s="485" t="s">
        <v>13</v>
      </c>
    </row>
    <row r="125" spans="1:11">
      <c r="C125" s="492"/>
      <c r="H125" s="469" t="s">
        <v>623</v>
      </c>
      <c r="I125" s="452">
        <f>‐48‐!D25</f>
        <v>14891</v>
      </c>
      <c r="J125" s="452">
        <f>‐48‐!E25</f>
        <v>15930</v>
      </c>
      <c r="K125" s="491">
        <f>‐48‐!G25</f>
        <v>25.74</v>
      </c>
    </row>
    <row r="126" spans="1:11">
      <c r="H126" s="469" t="s">
        <v>624</v>
      </c>
      <c r="I126" s="452">
        <f>‐48‐!D27</f>
        <v>20362</v>
      </c>
      <c r="J126" s="452">
        <f>‐48‐!E27</f>
        <v>21406</v>
      </c>
      <c r="K126" s="491">
        <f>‐48‐!G27</f>
        <v>35.520000000000003</v>
      </c>
    </row>
    <row r="127" spans="1:11">
      <c r="H127" s="469" t="s">
        <v>625</v>
      </c>
      <c r="I127" s="452">
        <f>‐48‐!D29</f>
        <v>29382</v>
      </c>
      <c r="J127" s="452">
        <f>‐48‐!E29</f>
        <v>29907</v>
      </c>
      <c r="K127" s="491">
        <f>‐48‐!G29</f>
        <v>41.95</v>
      </c>
    </row>
    <row r="128" spans="1:11">
      <c r="H128" s="469" t="s">
        <v>626</v>
      </c>
      <c r="I128" s="452">
        <f>‐48‐!D31</f>
        <v>34773</v>
      </c>
      <c r="J128" s="452">
        <f>‐48‐!E31</f>
        <v>35509</v>
      </c>
      <c r="K128" s="491">
        <f>‐48‐!G31</f>
        <v>18.54</v>
      </c>
    </row>
    <row r="129" spans="2:11">
      <c r="H129" s="469" t="s">
        <v>627</v>
      </c>
      <c r="I129" s="452">
        <f>‐48‐!D33</f>
        <v>40547</v>
      </c>
      <c r="J129" s="452">
        <f>‐48‐!E33</f>
        <v>41064</v>
      </c>
      <c r="K129" s="491">
        <f>‐48‐!G33</f>
        <v>16.12</v>
      </c>
    </row>
    <row r="130" spans="2:11">
      <c r="H130" s="469" t="s">
        <v>628</v>
      </c>
      <c r="I130" s="452">
        <f>‐48‐!D35</f>
        <v>44316</v>
      </c>
      <c r="J130" s="452">
        <f>‐48‐!E35</f>
        <v>45678</v>
      </c>
      <c r="K130" s="491">
        <f>‐48‐!G35</f>
        <v>10.27</v>
      </c>
    </row>
    <row r="131" spans="2:11">
      <c r="H131" s="469" t="s">
        <v>629</v>
      </c>
      <c r="I131" s="452">
        <f>‐48‐!D37</f>
        <v>47360</v>
      </c>
      <c r="J131" s="452">
        <f>‐48‐!E37</f>
        <v>48642</v>
      </c>
      <c r="K131" s="491">
        <f>‐48‐!G37</f>
        <v>6.68</v>
      </c>
    </row>
    <row r="132" spans="2:11">
      <c r="H132" s="469" t="s">
        <v>630</v>
      </c>
      <c r="I132" s="452">
        <f>‐48‐!D39</f>
        <v>50440</v>
      </c>
      <c r="J132" s="452">
        <f>‐48‐!E39</f>
        <v>52294</v>
      </c>
      <c r="K132" s="491">
        <f>‐48‐!G39</f>
        <v>7.01</v>
      </c>
    </row>
    <row r="133" spans="2:11">
      <c r="H133" s="469" t="s">
        <v>631</v>
      </c>
      <c r="I133" s="452">
        <f>‐48‐!D41</f>
        <v>52128</v>
      </c>
      <c r="J133" s="452">
        <f>‐48‐!E41</f>
        <v>53921</v>
      </c>
      <c r="K133" s="491">
        <f>‐48‐!G41</f>
        <v>3.23</v>
      </c>
    </row>
    <row r="134" spans="2:11">
      <c r="H134" s="469" t="s">
        <v>9</v>
      </c>
      <c r="I134" s="488">
        <f>‐48‐!D43</f>
        <v>53948</v>
      </c>
      <c r="J134" s="489">
        <f>‐48‐!E43</f>
        <v>56403</v>
      </c>
      <c r="K134" s="490">
        <f>‐48‐!G43</f>
        <v>4.0599999999999996</v>
      </c>
    </row>
    <row r="135" spans="2:11">
      <c r="J135" s="447" t="s">
        <v>632</v>
      </c>
    </row>
    <row r="137" spans="2:11">
      <c r="B137" s="462"/>
      <c r="C137" s="462"/>
    </row>
    <row r="139" spans="2:11">
      <c r="B139" s="462"/>
      <c r="C139" s="462"/>
    </row>
    <row r="141" spans="2:11">
      <c r="B141" s="462"/>
      <c r="C141" s="462"/>
    </row>
    <row r="154" spans="1:10">
      <c r="H154" s="606">
        <v>-12</v>
      </c>
    </row>
    <row r="155" spans="1:10">
      <c r="A155" s="449" t="s">
        <v>633</v>
      </c>
      <c r="H155" s="450"/>
      <c r="I155" s="450" t="s">
        <v>634</v>
      </c>
      <c r="J155" s="450" t="s">
        <v>635</v>
      </c>
    </row>
    <row r="156" spans="1:10">
      <c r="H156" s="450" t="s">
        <v>636</v>
      </c>
      <c r="I156" s="608">
        <f>‐53‐!P14</f>
        <v>63.226820324777378</v>
      </c>
      <c r="J156" s="608">
        <f>100-I156</f>
        <v>36.773179675222622</v>
      </c>
    </row>
    <row r="157" spans="1:10">
      <c r="B157" s="596" t="s">
        <v>699</v>
      </c>
      <c r="H157" s="450" t="s">
        <v>637</v>
      </c>
      <c r="I157" s="608">
        <f>‐53‐!N14</f>
        <v>96.462197895805204</v>
      </c>
      <c r="J157" s="608">
        <f>100-I157</f>
        <v>3.537802104194796</v>
      </c>
    </row>
    <row r="179" spans="1:15">
      <c r="D179" s="449" t="s">
        <v>638</v>
      </c>
    </row>
    <row r="185" spans="1:15">
      <c r="A185" s="449"/>
      <c r="B185" s="643" t="s">
        <v>702</v>
      </c>
      <c r="C185" s="449"/>
      <c r="D185" s="595"/>
      <c r="E185" s="647" t="s">
        <v>701</v>
      </c>
      <c r="F185" s="449"/>
      <c r="H185" s="606">
        <v>-13</v>
      </c>
      <c r="M185" s="468" t="s">
        <v>14</v>
      </c>
    </row>
    <row r="186" spans="1:15">
      <c r="B186" s="643" t="s">
        <v>691</v>
      </c>
      <c r="C186" s="449"/>
      <c r="E186" s="647" t="s">
        <v>692</v>
      </c>
      <c r="F186" s="449"/>
      <c r="H186" s="464"/>
      <c r="I186" s="456" t="s">
        <v>639</v>
      </c>
      <c r="J186" s="456" t="s">
        <v>640</v>
      </c>
      <c r="K186" s="456" t="s">
        <v>641</v>
      </c>
      <c r="M186"/>
      <c r="N186" t="s">
        <v>590</v>
      </c>
      <c r="O186" t="s">
        <v>591</v>
      </c>
    </row>
    <row r="187" spans="1:15">
      <c r="A187" s="931"/>
      <c r="B187" s="931"/>
      <c r="C187" s="449"/>
      <c r="D187" s="449"/>
      <c r="E187" s="449"/>
      <c r="F187" s="449"/>
      <c r="H187" s="465" t="s">
        <v>616</v>
      </c>
      <c r="I187" s="452">
        <f>‐50‐!C12</f>
        <v>21892</v>
      </c>
      <c r="J187" s="452">
        <f>‐50‐!G12</f>
        <v>68413</v>
      </c>
      <c r="K187" s="452">
        <f>‐50‐!J12</f>
        <v>9917</v>
      </c>
      <c r="M187">
        <v>0</v>
      </c>
      <c r="N187">
        <v>765</v>
      </c>
      <c r="O187">
        <v>710</v>
      </c>
    </row>
    <row r="188" spans="1:15">
      <c r="A188" s="449"/>
      <c r="B188" s="449"/>
      <c r="C188" s="449"/>
      <c r="D188" s="449"/>
      <c r="E188" s="449"/>
      <c r="F188" s="449"/>
      <c r="H188" s="465" t="s">
        <v>631</v>
      </c>
      <c r="I188" s="452">
        <f>‐50‐!C14</f>
        <v>21528</v>
      </c>
      <c r="J188" s="452">
        <f>‐50‐!G14</f>
        <v>71343</v>
      </c>
      <c r="K188" s="452">
        <f>‐50‐!J14</f>
        <v>13169</v>
      </c>
      <c r="M188">
        <v>1</v>
      </c>
      <c r="N188">
        <v>765</v>
      </c>
      <c r="O188">
        <v>715</v>
      </c>
    </row>
    <row r="189" spans="1:15">
      <c r="A189" s="449"/>
      <c r="B189" s="449"/>
      <c r="C189" s="449"/>
      <c r="D189" s="449"/>
      <c r="E189" s="449"/>
      <c r="F189" s="449"/>
      <c r="H189" s="465" t="s">
        <v>9</v>
      </c>
      <c r="I189" s="452">
        <f>‐50‐!C16</f>
        <v>21264</v>
      </c>
      <c r="J189" s="452">
        <f>‐50‐!G16</f>
        <v>72687</v>
      </c>
      <c r="K189" s="452">
        <f>‐50‐!J16</f>
        <v>15846</v>
      </c>
      <c r="M189">
        <v>2</v>
      </c>
      <c r="N189">
        <v>688</v>
      </c>
      <c r="O189">
        <v>715</v>
      </c>
    </row>
    <row r="190" spans="1:15">
      <c r="A190" s="449"/>
      <c r="B190" s="449"/>
      <c r="C190" s="449"/>
      <c r="D190" s="449"/>
      <c r="E190" s="449"/>
      <c r="F190" s="449"/>
      <c r="M190">
        <v>3</v>
      </c>
      <c r="N190">
        <v>713</v>
      </c>
      <c r="O190">
        <v>671</v>
      </c>
    </row>
    <row r="191" spans="1:15">
      <c r="A191" s="449"/>
      <c r="B191" s="449"/>
      <c r="C191" s="449"/>
      <c r="D191" s="449"/>
      <c r="E191" s="449"/>
      <c r="F191" s="449"/>
      <c r="M191">
        <v>4</v>
      </c>
      <c r="N191">
        <v>747</v>
      </c>
      <c r="O191">
        <v>692</v>
      </c>
    </row>
    <row r="192" spans="1:15">
      <c r="A192" s="449"/>
      <c r="B192" s="449"/>
      <c r="C192" s="449"/>
      <c r="D192" s="449"/>
      <c r="E192" s="449"/>
      <c r="F192" s="449"/>
      <c r="M192">
        <v>5</v>
      </c>
      <c r="N192">
        <v>706</v>
      </c>
      <c r="O192">
        <v>585</v>
      </c>
    </row>
    <row r="193" spans="1:15">
      <c r="A193" s="449"/>
      <c r="B193" s="449"/>
      <c r="C193" s="449"/>
      <c r="D193" s="449"/>
      <c r="E193" s="449"/>
      <c r="F193" s="449"/>
      <c r="M193">
        <v>6</v>
      </c>
      <c r="N193">
        <v>727</v>
      </c>
      <c r="O193">
        <v>679</v>
      </c>
    </row>
    <row r="194" spans="1:15">
      <c r="A194" s="449"/>
      <c r="B194" s="449"/>
      <c r="C194" s="449"/>
      <c r="D194" s="449"/>
      <c r="E194" s="449"/>
      <c r="F194" s="449"/>
      <c r="H194" s="607">
        <v>-14</v>
      </c>
      <c r="M194">
        <v>7</v>
      </c>
      <c r="N194">
        <v>758</v>
      </c>
      <c r="O194">
        <v>686</v>
      </c>
    </row>
    <row r="195" spans="1:15">
      <c r="A195" s="449"/>
      <c r="B195" s="449"/>
      <c r="C195" s="449"/>
      <c r="E195" s="449"/>
      <c r="F195" s="449"/>
      <c r="H195" s="460" t="s">
        <v>690</v>
      </c>
      <c r="I195" s="460" t="s">
        <v>642</v>
      </c>
      <c r="J195" s="460" t="s">
        <v>643</v>
      </c>
      <c r="K195" s="460" t="s">
        <v>606</v>
      </c>
      <c r="L195" s="604"/>
      <c r="M195">
        <v>8</v>
      </c>
      <c r="N195">
        <v>680</v>
      </c>
      <c r="O195">
        <v>685</v>
      </c>
    </row>
    <row r="196" spans="1:15">
      <c r="A196" s="449"/>
      <c r="B196" s="449"/>
      <c r="C196" s="449"/>
      <c r="D196" s="449"/>
      <c r="E196" s="449"/>
      <c r="F196" s="449"/>
      <c r="H196" s="460" t="s">
        <v>616</v>
      </c>
      <c r="I196" s="466">
        <v>15258</v>
      </c>
      <c r="J196" s="466">
        <v>17057</v>
      </c>
      <c r="K196" s="466">
        <v>2053</v>
      </c>
      <c r="L196" s="605"/>
      <c r="M196">
        <v>9</v>
      </c>
      <c r="N196">
        <v>766</v>
      </c>
      <c r="O196">
        <v>727</v>
      </c>
    </row>
    <row r="197" spans="1:15">
      <c r="A197" s="449"/>
      <c r="B197" s="449"/>
      <c r="C197" s="449"/>
      <c r="D197" s="449"/>
      <c r="E197" s="449"/>
      <c r="F197" s="449"/>
      <c r="H197" s="460" t="s">
        <v>631</v>
      </c>
      <c r="I197" s="466">
        <f>‐54‐!B27</f>
        <v>16350</v>
      </c>
      <c r="J197" s="466">
        <f>‐54‐!B28+‐54‐!B29</f>
        <v>20157</v>
      </c>
      <c r="K197" s="466">
        <f>‐54‐!B30+‐54‐!B31</f>
        <v>1679</v>
      </c>
      <c r="L197" s="605"/>
      <c r="M197">
        <v>10</v>
      </c>
      <c r="N197">
        <v>701</v>
      </c>
      <c r="O197">
        <v>707</v>
      </c>
    </row>
    <row r="198" spans="1:15">
      <c r="A198" s="449"/>
      <c r="B198" s="449"/>
      <c r="C198" s="449"/>
      <c r="D198" s="449"/>
      <c r="E198" s="449"/>
      <c r="F198" s="449"/>
      <c r="H198" s="460" t="s">
        <v>9</v>
      </c>
      <c r="I198" s="466">
        <f>‐54‐!C27</f>
        <v>16933</v>
      </c>
      <c r="J198" s="466">
        <f>‐54‐!C28+‐54‐!C29</f>
        <v>21936</v>
      </c>
      <c r="K198" s="466">
        <f>‐54‐!C30+‐54‐!C31</f>
        <v>1825</v>
      </c>
      <c r="L198" s="605"/>
      <c r="M198">
        <v>11</v>
      </c>
      <c r="N198">
        <v>751</v>
      </c>
      <c r="O198">
        <v>720</v>
      </c>
    </row>
    <row r="199" spans="1:15">
      <c r="A199" s="449"/>
      <c r="B199" s="449"/>
      <c r="C199" s="449"/>
      <c r="D199" s="449"/>
      <c r="E199" s="449"/>
      <c r="F199" s="449"/>
      <c r="M199">
        <v>12</v>
      </c>
      <c r="N199">
        <v>768</v>
      </c>
      <c r="O199">
        <v>682</v>
      </c>
    </row>
    <row r="200" spans="1:15">
      <c r="A200" s="449"/>
      <c r="B200" s="449"/>
      <c r="C200" s="449"/>
      <c r="D200" s="449"/>
      <c r="E200" s="449"/>
      <c r="F200" s="449"/>
      <c r="M200">
        <v>13</v>
      </c>
      <c r="N200">
        <v>705</v>
      </c>
      <c r="O200">
        <v>664</v>
      </c>
    </row>
    <row r="201" spans="1:15">
      <c r="A201" s="449"/>
      <c r="B201" s="449"/>
      <c r="C201" s="449"/>
      <c r="D201" s="449"/>
      <c r="E201" s="449"/>
      <c r="F201" s="449"/>
      <c r="M201">
        <v>14</v>
      </c>
      <c r="N201">
        <v>722</v>
      </c>
      <c r="O201">
        <v>664</v>
      </c>
    </row>
    <row r="202" spans="1:15">
      <c r="A202" s="449"/>
      <c r="B202" s="449"/>
      <c r="C202" s="449"/>
      <c r="D202" s="449"/>
      <c r="E202" s="449"/>
      <c r="F202" s="449"/>
      <c r="M202">
        <v>15</v>
      </c>
      <c r="N202">
        <v>723</v>
      </c>
      <c r="O202">
        <v>701</v>
      </c>
    </row>
    <row r="203" spans="1:15">
      <c r="A203" s="449"/>
      <c r="B203" s="449"/>
      <c r="C203" s="449"/>
      <c r="D203" s="449"/>
      <c r="E203" s="449"/>
      <c r="F203" s="449"/>
      <c r="M203">
        <v>16</v>
      </c>
      <c r="N203">
        <v>738</v>
      </c>
      <c r="O203">
        <v>673</v>
      </c>
    </row>
    <row r="204" spans="1:15">
      <c r="A204" s="449"/>
      <c r="B204" s="449"/>
      <c r="C204" s="449"/>
      <c r="D204" s="449"/>
      <c r="E204" s="449"/>
      <c r="F204" s="449"/>
      <c r="M204">
        <v>17</v>
      </c>
      <c r="N204">
        <v>711</v>
      </c>
      <c r="O204">
        <v>724</v>
      </c>
    </row>
    <row r="205" spans="1:15">
      <c r="A205" s="449"/>
      <c r="B205" s="449"/>
      <c r="C205" s="449"/>
      <c r="D205" s="449"/>
      <c r="E205" s="449"/>
      <c r="F205" s="449"/>
      <c r="H205" s="597"/>
      <c r="I205" s="598"/>
      <c r="J205" s="598"/>
      <c r="K205" s="457"/>
      <c r="L205" s="457"/>
      <c r="M205">
        <v>18</v>
      </c>
      <c r="N205">
        <v>652</v>
      </c>
      <c r="O205">
        <v>652</v>
      </c>
    </row>
    <row r="206" spans="1:15">
      <c r="A206" s="449"/>
      <c r="B206" s="449"/>
      <c r="C206" s="449"/>
      <c r="D206" s="449"/>
      <c r="E206" s="449"/>
      <c r="F206" s="449"/>
      <c r="H206" s="597"/>
      <c r="I206" s="930"/>
      <c r="J206" s="930"/>
      <c r="K206" s="455"/>
      <c r="L206" s="455"/>
      <c r="M206">
        <v>19</v>
      </c>
      <c r="N206">
        <v>581</v>
      </c>
      <c r="O206">
        <v>530</v>
      </c>
    </row>
    <row r="207" spans="1:15">
      <c r="A207" s="449"/>
      <c r="B207" s="449"/>
      <c r="C207" s="449"/>
      <c r="D207" s="449"/>
      <c r="E207" s="449"/>
      <c r="F207" s="449"/>
      <c r="H207" s="597"/>
      <c r="I207" s="930"/>
      <c r="J207" s="930"/>
      <c r="K207" s="455"/>
      <c r="L207" s="455"/>
      <c r="M207">
        <v>20</v>
      </c>
      <c r="N207">
        <v>575</v>
      </c>
      <c r="O207">
        <v>566</v>
      </c>
    </row>
    <row r="208" spans="1:15">
      <c r="A208" s="449"/>
      <c r="B208" s="449"/>
      <c r="C208" s="449"/>
      <c r="D208" s="449"/>
      <c r="E208" s="449"/>
      <c r="F208" s="449"/>
      <c r="H208" s="598"/>
      <c r="I208" s="599"/>
      <c r="J208" s="599"/>
      <c r="K208" s="455"/>
      <c r="L208" s="455"/>
      <c r="M208">
        <v>21</v>
      </c>
      <c r="N208">
        <v>549</v>
      </c>
      <c r="O208">
        <v>526</v>
      </c>
    </row>
    <row r="209" spans="1:15">
      <c r="A209" s="449"/>
      <c r="B209" s="449"/>
      <c r="C209" s="449"/>
      <c r="D209" s="449"/>
      <c r="E209" s="449"/>
      <c r="F209" s="449"/>
      <c r="H209" s="598"/>
      <c r="I209" s="599"/>
      <c r="J209" s="599"/>
      <c r="K209" s="455"/>
      <c r="L209" s="455"/>
      <c r="M209">
        <v>22</v>
      </c>
      <c r="N209">
        <v>572</v>
      </c>
      <c r="O209">
        <v>576</v>
      </c>
    </row>
    <row r="210" spans="1:15">
      <c r="A210" s="449"/>
      <c r="B210" s="449"/>
      <c r="C210" s="449"/>
      <c r="D210" s="449"/>
      <c r="E210" s="449"/>
      <c r="F210" s="449"/>
      <c r="H210" s="598"/>
      <c r="I210" s="599"/>
      <c r="J210" s="599"/>
      <c r="K210" s="455"/>
      <c r="L210" s="455"/>
      <c r="M210">
        <v>23</v>
      </c>
      <c r="N210">
        <v>596</v>
      </c>
      <c r="O210">
        <v>597</v>
      </c>
    </row>
    <row r="211" spans="1:15">
      <c r="A211" s="449"/>
      <c r="B211" s="449"/>
      <c r="C211" s="449"/>
      <c r="D211" s="449"/>
      <c r="E211" s="449"/>
      <c r="F211" s="449"/>
      <c r="H211" s="598"/>
      <c r="I211" s="599"/>
      <c r="J211" s="599"/>
      <c r="K211" s="455"/>
      <c r="L211" s="455"/>
      <c r="M211">
        <v>24</v>
      </c>
      <c r="N211">
        <v>675</v>
      </c>
      <c r="O211">
        <v>658</v>
      </c>
    </row>
    <row r="212" spans="1:15">
      <c r="B212" s="449"/>
      <c r="C212" s="449"/>
      <c r="D212" s="449"/>
      <c r="E212" s="449"/>
      <c r="F212" s="449"/>
      <c r="H212" s="598"/>
      <c r="I212" s="599"/>
      <c r="J212" s="599"/>
      <c r="K212" s="455"/>
      <c r="L212" s="455"/>
      <c r="M212">
        <v>25</v>
      </c>
      <c r="N212">
        <v>678</v>
      </c>
      <c r="O212">
        <v>738</v>
      </c>
    </row>
    <row r="213" spans="1:15">
      <c r="B213" s="596" t="s">
        <v>693</v>
      </c>
      <c r="C213" s="449"/>
      <c r="D213" s="449"/>
      <c r="F213" s="449"/>
      <c r="H213" s="598"/>
      <c r="I213" s="599"/>
      <c r="J213" s="599"/>
      <c r="K213" s="455"/>
      <c r="L213" s="455"/>
      <c r="M213">
        <v>26</v>
      </c>
      <c r="N213">
        <v>704</v>
      </c>
      <c r="O213">
        <v>732</v>
      </c>
    </row>
    <row r="214" spans="1:15">
      <c r="A214" s="449"/>
      <c r="B214" s="449"/>
      <c r="C214" s="449"/>
      <c r="D214" s="449"/>
      <c r="E214" s="595"/>
      <c r="F214" s="449"/>
      <c r="H214" s="598"/>
      <c r="I214" s="599"/>
      <c r="J214" s="599"/>
      <c r="K214" s="455"/>
      <c r="L214" s="455"/>
      <c r="M214">
        <v>27</v>
      </c>
      <c r="N214">
        <v>701</v>
      </c>
      <c r="O214">
        <v>761</v>
      </c>
    </row>
    <row r="215" spans="1:15">
      <c r="A215" s="931"/>
      <c r="B215" s="931"/>
      <c r="C215" s="931" t="s">
        <v>689</v>
      </c>
      <c r="D215" s="931"/>
      <c r="F215" s="449"/>
      <c r="H215" s="598"/>
      <c r="I215" s="599"/>
      <c r="J215" s="599"/>
      <c r="K215" s="455"/>
      <c r="L215" s="455"/>
      <c r="M215">
        <v>28</v>
      </c>
      <c r="N215">
        <v>689</v>
      </c>
      <c r="O215">
        <v>755</v>
      </c>
    </row>
    <row r="216" spans="1:15">
      <c r="A216" s="449"/>
      <c r="B216" s="449"/>
      <c r="C216" s="449"/>
      <c r="D216" s="449"/>
      <c r="E216" s="449"/>
      <c r="F216" s="449"/>
      <c r="H216" s="598"/>
      <c r="I216" s="599"/>
      <c r="J216" s="599"/>
      <c r="K216" s="455"/>
      <c r="L216" s="455"/>
      <c r="M216">
        <v>29</v>
      </c>
      <c r="N216">
        <v>728</v>
      </c>
      <c r="O216">
        <v>788</v>
      </c>
    </row>
    <row r="217" spans="1:15">
      <c r="A217" s="449"/>
      <c r="B217" s="449"/>
      <c r="C217" s="449"/>
      <c r="D217" s="449"/>
      <c r="E217" s="449"/>
      <c r="F217" s="449"/>
      <c r="H217" s="598"/>
      <c r="I217" s="599"/>
      <c r="J217" s="599"/>
      <c r="K217" s="455"/>
      <c r="L217" s="455"/>
      <c r="M217">
        <v>30</v>
      </c>
      <c r="N217">
        <v>745</v>
      </c>
      <c r="O217">
        <v>766</v>
      </c>
    </row>
    <row r="218" spans="1:15">
      <c r="A218" s="449"/>
      <c r="B218" s="449"/>
      <c r="C218" s="449"/>
      <c r="D218" s="449"/>
      <c r="E218" s="449"/>
      <c r="F218" s="449"/>
      <c r="H218" s="600"/>
      <c r="I218" s="600"/>
      <c r="J218" s="600"/>
      <c r="K218" s="455"/>
      <c r="L218" s="455"/>
      <c r="M218">
        <v>31</v>
      </c>
      <c r="N218">
        <v>762</v>
      </c>
      <c r="O218">
        <v>847</v>
      </c>
    </row>
    <row r="219" spans="1:15">
      <c r="A219" s="449"/>
      <c r="B219" s="449"/>
      <c r="C219" s="449"/>
      <c r="D219" s="449"/>
      <c r="E219" s="449"/>
      <c r="F219" s="449"/>
      <c r="H219" s="601"/>
      <c r="I219" s="455"/>
      <c r="J219" s="455"/>
      <c r="K219" s="455"/>
      <c r="L219" s="455"/>
      <c r="M219">
        <v>32</v>
      </c>
      <c r="N219">
        <v>781</v>
      </c>
      <c r="O219">
        <v>809</v>
      </c>
    </row>
    <row r="220" spans="1:15">
      <c r="A220" s="449"/>
      <c r="B220" s="449"/>
      <c r="C220" s="449"/>
      <c r="D220" s="449"/>
      <c r="E220" s="449"/>
      <c r="F220" s="449"/>
      <c r="H220" s="601"/>
      <c r="I220" s="457"/>
      <c r="J220" s="457"/>
      <c r="K220" s="455"/>
      <c r="M220">
        <v>33</v>
      </c>
      <c r="N220">
        <v>770</v>
      </c>
      <c r="O220">
        <v>845</v>
      </c>
    </row>
    <row r="221" spans="1:15">
      <c r="A221" s="449"/>
      <c r="B221" s="449"/>
      <c r="C221" s="449"/>
      <c r="D221" s="449"/>
      <c r="E221" s="449"/>
      <c r="F221" s="449"/>
      <c r="H221" s="601"/>
      <c r="I221" s="457"/>
      <c r="J221" s="602"/>
      <c r="K221" s="455"/>
      <c r="M221">
        <v>34</v>
      </c>
      <c r="N221">
        <v>835</v>
      </c>
      <c r="O221">
        <v>872</v>
      </c>
    </row>
    <row r="222" spans="1:15">
      <c r="A222" s="449"/>
      <c r="B222" s="449"/>
      <c r="C222" s="449"/>
      <c r="D222" s="449"/>
      <c r="E222" s="449"/>
      <c r="F222" s="449"/>
      <c r="H222" s="457"/>
      <c r="I222" s="603"/>
      <c r="J222" s="603"/>
      <c r="K222" s="457"/>
      <c r="M222">
        <v>35</v>
      </c>
      <c r="N222">
        <v>919</v>
      </c>
      <c r="O222">
        <v>915</v>
      </c>
    </row>
    <row r="223" spans="1:15">
      <c r="A223" s="449"/>
      <c r="B223" s="449"/>
      <c r="C223" s="449"/>
      <c r="D223" s="449"/>
      <c r="E223" s="449"/>
      <c r="F223" s="449"/>
      <c r="H223" s="457"/>
      <c r="I223" s="603"/>
      <c r="J223" s="603"/>
      <c r="K223" s="455"/>
      <c r="M223">
        <v>36</v>
      </c>
      <c r="N223">
        <v>987</v>
      </c>
      <c r="O223">
        <v>1012</v>
      </c>
    </row>
    <row r="224" spans="1:15">
      <c r="H224" s="457"/>
      <c r="I224" s="603"/>
      <c r="J224" s="603"/>
      <c r="K224" s="455"/>
      <c r="M224">
        <v>37</v>
      </c>
      <c r="N224">
        <v>964</v>
      </c>
      <c r="O224">
        <v>956</v>
      </c>
    </row>
    <row r="225" spans="8:15">
      <c r="H225" s="457"/>
      <c r="I225" s="603"/>
      <c r="J225" s="603"/>
      <c r="K225" s="455"/>
      <c r="M225">
        <v>38</v>
      </c>
      <c r="N225">
        <v>902</v>
      </c>
      <c r="O225">
        <v>933</v>
      </c>
    </row>
    <row r="226" spans="8:15">
      <c r="H226" s="457"/>
      <c r="I226" s="603"/>
      <c r="J226" s="603"/>
      <c r="K226" s="455"/>
      <c r="M226">
        <v>39</v>
      </c>
      <c r="N226">
        <v>881</v>
      </c>
      <c r="O226">
        <v>926</v>
      </c>
    </row>
    <row r="227" spans="8:15">
      <c r="H227" s="457"/>
      <c r="I227" s="603"/>
      <c r="J227" s="455"/>
      <c r="K227" s="455"/>
      <c r="M227">
        <v>40</v>
      </c>
      <c r="N227">
        <v>825</v>
      </c>
      <c r="O227">
        <v>904</v>
      </c>
    </row>
    <row r="228" spans="8:15">
      <c r="H228" s="457"/>
      <c r="I228" s="603"/>
      <c r="J228" s="455"/>
      <c r="K228" s="455"/>
      <c r="M228">
        <v>41</v>
      </c>
      <c r="N228">
        <v>803</v>
      </c>
      <c r="O228">
        <v>845</v>
      </c>
    </row>
    <row r="229" spans="8:15">
      <c r="H229" s="457"/>
      <c r="I229" s="603"/>
      <c r="J229" s="455"/>
      <c r="K229" s="455"/>
      <c r="M229">
        <v>42</v>
      </c>
      <c r="N229">
        <v>858</v>
      </c>
      <c r="O229">
        <v>901</v>
      </c>
    </row>
    <row r="230" spans="8:15">
      <c r="H230" s="455"/>
      <c r="I230" s="455"/>
      <c r="J230" s="455"/>
      <c r="K230" s="455"/>
      <c r="M230">
        <v>43</v>
      </c>
      <c r="N230">
        <v>811</v>
      </c>
      <c r="O230">
        <v>861</v>
      </c>
    </row>
    <row r="231" spans="8:15">
      <c r="H231" s="455"/>
      <c r="I231" s="455"/>
      <c r="J231" s="455"/>
      <c r="K231" s="455"/>
      <c r="M231">
        <v>44</v>
      </c>
      <c r="N231">
        <v>628</v>
      </c>
      <c r="O231">
        <v>702</v>
      </c>
    </row>
    <row r="232" spans="8:15">
      <c r="M232">
        <v>45</v>
      </c>
      <c r="N232">
        <v>717</v>
      </c>
      <c r="O232">
        <v>750</v>
      </c>
    </row>
    <row r="233" spans="8:15">
      <c r="M233">
        <v>46</v>
      </c>
      <c r="N233">
        <v>727</v>
      </c>
      <c r="O233">
        <v>731</v>
      </c>
    </row>
    <row r="234" spans="8:15">
      <c r="M234">
        <v>47</v>
      </c>
      <c r="N234">
        <v>708</v>
      </c>
      <c r="O234">
        <v>801</v>
      </c>
    </row>
    <row r="235" spans="8:15">
      <c r="M235">
        <v>48</v>
      </c>
      <c r="N235">
        <v>646</v>
      </c>
      <c r="O235">
        <v>738</v>
      </c>
    </row>
    <row r="236" spans="8:15">
      <c r="M236">
        <v>49</v>
      </c>
      <c r="N236">
        <v>727</v>
      </c>
      <c r="O236">
        <v>744</v>
      </c>
    </row>
    <row r="237" spans="8:15">
      <c r="M237">
        <v>50</v>
      </c>
      <c r="N237">
        <v>704</v>
      </c>
      <c r="O237">
        <v>703</v>
      </c>
    </row>
    <row r="238" spans="8:15">
      <c r="H238" s="929"/>
      <c r="I238" s="929"/>
      <c r="M238">
        <v>51</v>
      </c>
      <c r="N238">
        <v>719</v>
      </c>
      <c r="O238">
        <v>714</v>
      </c>
    </row>
    <row r="239" spans="8:15">
      <c r="H239" s="457"/>
      <c r="I239" s="603"/>
      <c r="M239">
        <v>52</v>
      </c>
      <c r="N239">
        <v>682</v>
      </c>
      <c r="O239">
        <v>679</v>
      </c>
    </row>
    <row r="240" spans="8:15">
      <c r="H240" s="457"/>
      <c r="I240" s="603"/>
      <c r="M240">
        <v>53</v>
      </c>
      <c r="N240">
        <v>665</v>
      </c>
      <c r="O240">
        <v>683</v>
      </c>
    </row>
    <row r="241" spans="8:15">
      <c r="H241" s="457"/>
      <c r="I241" s="603"/>
      <c r="M241">
        <v>54</v>
      </c>
      <c r="N241">
        <v>650</v>
      </c>
      <c r="O241">
        <v>647</v>
      </c>
    </row>
    <row r="242" spans="8:15">
      <c r="H242" s="457"/>
      <c r="I242" s="603"/>
      <c r="L242" s="461"/>
      <c r="M242">
        <v>55</v>
      </c>
      <c r="N242">
        <v>663</v>
      </c>
      <c r="O242">
        <v>726</v>
      </c>
    </row>
    <row r="243" spans="8:15">
      <c r="H243" s="457"/>
      <c r="I243" s="603"/>
      <c r="M243">
        <v>56</v>
      </c>
      <c r="N243">
        <v>676</v>
      </c>
      <c r="O243">
        <v>736</v>
      </c>
    </row>
    <row r="244" spans="8:15">
      <c r="M244">
        <v>57</v>
      </c>
      <c r="N244">
        <v>676</v>
      </c>
      <c r="O244">
        <v>700</v>
      </c>
    </row>
    <row r="245" spans="8:15">
      <c r="M245">
        <v>58</v>
      </c>
      <c r="N245">
        <v>707</v>
      </c>
      <c r="O245">
        <v>757</v>
      </c>
    </row>
    <row r="246" spans="8:15">
      <c r="M246">
        <v>59</v>
      </c>
      <c r="N246">
        <v>705</v>
      </c>
      <c r="O246">
        <v>768</v>
      </c>
    </row>
    <row r="247" spans="8:15">
      <c r="M247">
        <v>60</v>
      </c>
      <c r="N247">
        <v>735</v>
      </c>
      <c r="O247">
        <v>733</v>
      </c>
    </row>
    <row r="248" spans="8:15">
      <c r="M248">
        <v>61</v>
      </c>
      <c r="N248">
        <v>702</v>
      </c>
      <c r="O248">
        <v>658</v>
      </c>
    </row>
    <row r="249" spans="8:15">
      <c r="M249">
        <v>62</v>
      </c>
      <c r="N249">
        <v>724</v>
      </c>
      <c r="O249">
        <v>739</v>
      </c>
    </row>
    <row r="250" spans="8:15">
      <c r="M250">
        <v>63</v>
      </c>
      <c r="N250">
        <v>581</v>
      </c>
      <c r="O250">
        <v>591</v>
      </c>
    </row>
    <row r="251" spans="8:15">
      <c r="M251">
        <v>64</v>
      </c>
      <c r="N251">
        <v>275</v>
      </c>
      <c r="O251">
        <v>286</v>
      </c>
    </row>
    <row r="252" spans="8:15">
      <c r="M252">
        <v>65</v>
      </c>
      <c r="N252">
        <v>318</v>
      </c>
      <c r="O252">
        <v>344</v>
      </c>
    </row>
    <row r="253" spans="8:15">
      <c r="M253">
        <v>66</v>
      </c>
      <c r="N253">
        <v>408</v>
      </c>
      <c r="O253">
        <v>467</v>
      </c>
    </row>
    <row r="254" spans="8:15">
      <c r="M254">
        <v>67</v>
      </c>
      <c r="N254">
        <v>417</v>
      </c>
      <c r="O254">
        <v>468</v>
      </c>
    </row>
    <row r="255" spans="8:15">
      <c r="M255">
        <v>68</v>
      </c>
      <c r="N255">
        <v>459</v>
      </c>
      <c r="O255">
        <v>463</v>
      </c>
    </row>
    <row r="256" spans="8:15">
      <c r="M256">
        <v>69</v>
      </c>
      <c r="N256">
        <v>492</v>
      </c>
      <c r="O256">
        <v>529</v>
      </c>
    </row>
    <row r="257" spans="13:15">
      <c r="M257">
        <v>70</v>
      </c>
      <c r="N257">
        <v>453</v>
      </c>
      <c r="O257">
        <v>486</v>
      </c>
    </row>
    <row r="258" spans="13:15">
      <c r="M258">
        <v>71</v>
      </c>
      <c r="N258">
        <v>431</v>
      </c>
      <c r="O258">
        <v>471</v>
      </c>
    </row>
    <row r="259" spans="13:15">
      <c r="M259">
        <v>72</v>
      </c>
      <c r="N259">
        <v>455</v>
      </c>
      <c r="O259">
        <v>467</v>
      </c>
    </row>
    <row r="260" spans="13:15">
      <c r="M260">
        <v>73</v>
      </c>
      <c r="N260">
        <v>376</v>
      </c>
      <c r="O260">
        <v>441</v>
      </c>
    </row>
    <row r="261" spans="13:15">
      <c r="M261">
        <v>74</v>
      </c>
      <c r="N261">
        <v>385</v>
      </c>
      <c r="O261">
        <v>471</v>
      </c>
    </row>
    <row r="262" spans="13:15">
      <c r="M262">
        <v>75</v>
      </c>
      <c r="N262">
        <v>347</v>
      </c>
      <c r="O262">
        <v>413</v>
      </c>
    </row>
    <row r="263" spans="13:15">
      <c r="M263">
        <v>76</v>
      </c>
      <c r="N263">
        <v>313</v>
      </c>
      <c r="O263">
        <v>416</v>
      </c>
    </row>
    <row r="264" spans="13:15">
      <c r="M264">
        <v>77</v>
      </c>
      <c r="N264">
        <v>323</v>
      </c>
      <c r="O264">
        <v>337</v>
      </c>
    </row>
    <row r="265" spans="13:15">
      <c r="M265">
        <v>78</v>
      </c>
      <c r="N265">
        <v>267</v>
      </c>
      <c r="O265">
        <v>347</v>
      </c>
    </row>
    <row r="266" spans="13:15">
      <c r="M266">
        <v>79</v>
      </c>
      <c r="N266">
        <v>227</v>
      </c>
      <c r="O266">
        <v>291</v>
      </c>
    </row>
    <row r="267" spans="13:15">
      <c r="M267">
        <v>80</v>
      </c>
      <c r="N267">
        <v>214</v>
      </c>
      <c r="O267">
        <v>271</v>
      </c>
    </row>
    <row r="268" spans="13:15">
      <c r="M268">
        <v>81</v>
      </c>
      <c r="N268">
        <v>183</v>
      </c>
      <c r="O268">
        <v>245</v>
      </c>
    </row>
    <row r="269" spans="13:15">
      <c r="M269">
        <v>82</v>
      </c>
      <c r="N269">
        <v>168</v>
      </c>
      <c r="O269">
        <v>250</v>
      </c>
    </row>
    <row r="270" spans="13:15">
      <c r="M270">
        <v>83</v>
      </c>
      <c r="N270">
        <v>115</v>
      </c>
      <c r="O270">
        <v>215</v>
      </c>
    </row>
    <row r="271" spans="13:15">
      <c r="M271">
        <v>84</v>
      </c>
      <c r="N271">
        <v>90</v>
      </c>
      <c r="O271">
        <v>216</v>
      </c>
    </row>
    <row r="272" spans="13:15">
      <c r="M272">
        <v>85</v>
      </c>
      <c r="N272">
        <v>76</v>
      </c>
      <c r="O272">
        <v>181</v>
      </c>
    </row>
    <row r="273" spans="13:15">
      <c r="M273">
        <v>86</v>
      </c>
      <c r="N273">
        <v>79</v>
      </c>
      <c r="O273">
        <v>153</v>
      </c>
    </row>
    <row r="274" spans="13:15">
      <c r="M274">
        <v>87</v>
      </c>
      <c r="N274">
        <v>75</v>
      </c>
      <c r="O274">
        <v>148</v>
      </c>
    </row>
    <row r="275" spans="13:15">
      <c r="M275">
        <v>88</v>
      </c>
      <c r="N275">
        <v>45</v>
      </c>
      <c r="O275">
        <v>149</v>
      </c>
    </row>
    <row r="276" spans="13:15">
      <c r="M276">
        <v>89</v>
      </c>
      <c r="N276">
        <v>39</v>
      </c>
      <c r="O276">
        <v>112</v>
      </c>
    </row>
    <row r="277" spans="13:15">
      <c r="M277">
        <v>90</v>
      </c>
      <c r="N277">
        <v>30</v>
      </c>
      <c r="O277">
        <v>95</v>
      </c>
    </row>
    <row r="278" spans="13:15">
      <c r="M278">
        <v>91</v>
      </c>
      <c r="N278">
        <v>32</v>
      </c>
      <c r="O278">
        <v>99</v>
      </c>
    </row>
    <row r="279" spans="13:15">
      <c r="M279">
        <v>92</v>
      </c>
      <c r="N279">
        <v>25</v>
      </c>
      <c r="O279">
        <v>74</v>
      </c>
    </row>
    <row r="280" spans="13:15">
      <c r="M280">
        <v>93</v>
      </c>
      <c r="N280">
        <v>14</v>
      </c>
      <c r="O280">
        <v>85</v>
      </c>
    </row>
    <row r="281" spans="13:15">
      <c r="M281">
        <v>94</v>
      </c>
      <c r="N281">
        <v>17</v>
      </c>
      <c r="O281">
        <v>62</v>
      </c>
    </row>
    <row r="282" spans="13:15">
      <c r="M282">
        <v>95</v>
      </c>
      <c r="N282">
        <v>13</v>
      </c>
      <c r="O282">
        <v>48</v>
      </c>
    </row>
    <row r="283" spans="13:15">
      <c r="M283">
        <v>96</v>
      </c>
      <c r="N283">
        <v>7</v>
      </c>
      <c r="O283">
        <v>34</v>
      </c>
    </row>
    <row r="284" spans="13:15">
      <c r="M284">
        <v>97</v>
      </c>
      <c r="N284">
        <v>7</v>
      </c>
      <c r="O284">
        <v>25</v>
      </c>
    </row>
    <row r="285" spans="13:15">
      <c r="M285">
        <v>98</v>
      </c>
      <c r="N285">
        <v>7</v>
      </c>
      <c r="O285">
        <v>15</v>
      </c>
    </row>
    <row r="286" spans="13:15">
      <c r="M286">
        <v>99</v>
      </c>
      <c r="N286">
        <v>0</v>
      </c>
      <c r="O286">
        <v>20</v>
      </c>
    </row>
    <row r="287" spans="13:15">
      <c r="M287" t="s">
        <v>15</v>
      </c>
      <c r="N287">
        <v>3</v>
      </c>
      <c r="O287">
        <v>28</v>
      </c>
    </row>
    <row r="289" spans="18:21">
      <c r="R289" s="455"/>
      <c r="S289" s="455"/>
      <c r="T289" s="455"/>
      <c r="U289" s="455"/>
    </row>
    <row r="290" spans="18:21">
      <c r="R290" s="455"/>
      <c r="S290" s="455"/>
      <c r="T290" s="455"/>
    </row>
    <row r="291" spans="18:21">
      <c r="R291" s="455"/>
      <c r="S291" s="455"/>
      <c r="T291" s="455"/>
    </row>
    <row r="292" spans="18:21">
      <c r="R292" s="455"/>
      <c r="S292" s="455"/>
      <c r="T292" s="455"/>
    </row>
    <row r="293" spans="18:21">
      <c r="R293" s="455"/>
      <c r="S293" s="455"/>
      <c r="T293" s="455"/>
    </row>
    <row r="294" spans="18:21">
      <c r="R294" s="455"/>
      <c r="S294" s="455"/>
      <c r="T294" s="455"/>
    </row>
    <row r="295" spans="18:21">
      <c r="R295" s="455"/>
      <c r="S295" s="455"/>
      <c r="T295" s="455"/>
    </row>
  </sheetData>
  <mergeCells count="19">
    <mergeCell ref="H238:I238"/>
    <mergeCell ref="A215:B215"/>
    <mergeCell ref="I206:I207"/>
    <mergeCell ref="A187:B187"/>
    <mergeCell ref="C215:D215"/>
    <mergeCell ref="J21:K21"/>
    <mergeCell ref="J206:J207"/>
    <mergeCell ref="J17:K17"/>
    <mergeCell ref="J18:K18"/>
    <mergeCell ref="J19:K19"/>
    <mergeCell ref="J20:K20"/>
    <mergeCell ref="J22:K22"/>
    <mergeCell ref="J23:K23"/>
    <mergeCell ref="J24:K24"/>
    <mergeCell ref="J25:K25"/>
    <mergeCell ref="J26:K26"/>
    <mergeCell ref="J27:K27"/>
    <mergeCell ref="J28:K28"/>
    <mergeCell ref="J29:K29"/>
  </mergeCells>
  <phoneticPr fontId="20"/>
  <pageMargins left="0.59055118110236227" right="0.59055118110236227" top="0.59055118110236227" bottom="0.59055118110236227" header="0.39370078740157483" footer="0.39370078740157483"/>
  <pageSetup paperSize="9" firstPageNumber="3" orientation="portrait" useFirstPageNumber="1" verticalDpi="300" r:id="rId1"/>
  <headerFooter alignWithMargins="0">
    <oddFooter>&amp;C&amp;"ＭＳ 明朝,標準"－&amp;P－</oddFooter>
  </headerFooter>
  <rowBreaks count="3" manualBreakCount="3">
    <brk id="61" max="5" man="1"/>
    <brk id="122" max="5" man="1"/>
    <brk id="18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9"/>
  <sheetViews>
    <sheetView view="pageBreakPreview" zoomScaleNormal="120" zoomScaleSheetLayoutView="100" workbookViewId="0">
      <pane ySplit="6" topLeftCell="A49" activePane="bottomLeft" state="frozen"/>
      <selection pane="bottomLeft" activeCell="D6" sqref="D6"/>
    </sheetView>
  </sheetViews>
  <sheetFormatPr defaultRowHeight="17.100000000000001" customHeight="1"/>
  <cols>
    <col min="1" max="1" width="11.875" style="324" customWidth="1"/>
    <col min="2" max="4" width="11.25" style="14" customWidth="1"/>
    <col min="5" max="5" width="11.875" style="324" customWidth="1"/>
    <col min="6" max="8" width="11.25" style="14" customWidth="1"/>
    <col min="9" max="9" width="11.875" style="15" customWidth="1"/>
    <col min="10" max="12" width="11.25" style="14" customWidth="1"/>
    <col min="13" max="13" width="11.875" style="14" customWidth="1"/>
    <col min="14" max="16" width="11.25" style="14" customWidth="1"/>
    <col min="17" max="16384" width="9" style="14"/>
  </cols>
  <sheetData>
    <row r="1" spans="1:16" ht="5.0999999999999996" customHeight="1">
      <c r="A1" s="16"/>
      <c r="B1" s="17"/>
      <c r="C1" s="17"/>
      <c r="D1" s="17"/>
      <c r="E1" s="325"/>
      <c r="G1" s="17"/>
      <c r="H1" s="18"/>
      <c r="I1" s="16" t="s">
        <v>33</v>
      </c>
      <c r="J1" s="17"/>
      <c r="K1" s="17"/>
      <c r="L1" s="17"/>
      <c r="M1" s="17"/>
      <c r="O1" s="17"/>
      <c r="P1" s="18"/>
    </row>
    <row r="2" spans="1:16" ht="15" customHeight="1" thickBot="1">
      <c r="A2" s="325" t="s">
        <v>686</v>
      </c>
      <c r="B2" s="17"/>
      <c r="C2" s="17"/>
      <c r="D2" s="17"/>
      <c r="E2" s="325"/>
      <c r="G2" s="17"/>
      <c r="H2" s="18"/>
      <c r="I2" s="16"/>
      <c r="J2" s="17"/>
      <c r="K2" s="17"/>
      <c r="L2" s="17"/>
      <c r="M2" s="325"/>
      <c r="O2" s="17"/>
      <c r="P2" s="18" t="s">
        <v>34</v>
      </c>
    </row>
    <row r="3" spans="1:16" ht="24" customHeight="1">
      <c r="A3" s="292" t="s">
        <v>35</v>
      </c>
      <c r="B3" s="167" t="s">
        <v>36</v>
      </c>
      <c r="C3" s="167" t="s">
        <v>23</v>
      </c>
      <c r="D3" s="258" t="s">
        <v>24</v>
      </c>
      <c r="E3" s="167" t="s">
        <v>35</v>
      </c>
      <c r="F3" s="167" t="s">
        <v>36</v>
      </c>
      <c r="G3" s="167" t="s">
        <v>23</v>
      </c>
      <c r="H3" s="258" t="s">
        <v>24</v>
      </c>
      <c r="I3" s="258" t="s">
        <v>35</v>
      </c>
      <c r="J3" s="167" t="s">
        <v>36</v>
      </c>
      <c r="K3" s="167" t="s">
        <v>23</v>
      </c>
      <c r="L3" s="258" t="s">
        <v>24</v>
      </c>
      <c r="M3" s="167" t="s">
        <v>35</v>
      </c>
      <c r="N3" s="167" t="s">
        <v>36</v>
      </c>
      <c r="O3" s="167" t="s">
        <v>23</v>
      </c>
      <c r="P3" s="264" t="s">
        <v>24</v>
      </c>
    </row>
    <row r="4" spans="1:16" ht="7.5" customHeight="1">
      <c r="A4" s="297"/>
      <c r="B4" s="36"/>
      <c r="C4" s="313"/>
      <c r="D4" s="293"/>
      <c r="E4" s="21"/>
      <c r="F4" s="36"/>
      <c r="G4" s="313"/>
      <c r="H4" s="314"/>
      <c r="I4" s="22"/>
      <c r="J4" s="36"/>
      <c r="K4" s="313"/>
      <c r="L4" s="293"/>
      <c r="M4" s="21"/>
      <c r="N4" s="36"/>
      <c r="O4" s="313"/>
      <c r="P4" s="320"/>
    </row>
    <row r="5" spans="1:16" ht="16.5" customHeight="1">
      <c r="A5" s="299" t="s">
        <v>37</v>
      </c>
      <c r="B5" s="25">
        <f>SUM(C5:D5)</f>
        <v>113745</v>
      </c>
      <c r="C5" s="40">
        <f>C12+C19+‐40‐!C26+C33+C40+C47+G12+G19+G26+G33+G40+G47+K12+K19+K26+K33+K40+K47+O12+O19+O26+O28</f>
        <v>55780</v>
      </c>
      <c r="D5" s="40">
        <f>D12+D19+D26+D33+D40+D47+H12+H19+H26+H33+H40+H47+L12+L19+L26+L33+L40+L47+P12+P19+P26+P28</f>
        <v>57965</v>
      </c>
      <c r="E5" s="26"/>
      <c r="F5" s="26"/>
      <c r="G5" s="262"/>
      <c r="H5" s="315"/>
      <c r="I5" s="27"/>
      <c r="J5" s="26"/>
      <c r="K5" s="262"/>
      <c r="L5" s="315"/>
      <c r="M5" s="26"/>
      <c r="N5" s="26"/>
      <c r="O5" s="262"/>
      <c r="P5" s="283"/>
    </row>
    <row r="6" spans="1:16" ht="16.5" customHeight="1">
      <c r="A6" s="298"/>
      <c r="B6" s="28"/>
      <c r="C6" s="3"/>
      <c r="D6" s="311"/>
      <c r="E6" s="26"/>
      <c r="F6" s="26"/>
      <c r="G6" s="262"/>
      <c r="H6" s="315"/>
      <c r="I6" s="27"/>
      <c r="J6" s="26"/>
      <c r="K6" s="262"/>
      <c r="L6" s="315"/>
      <c r="M6" s="26"/>
      <c r="N6" s="26"/>
      <c r="O6" s="262"/>
      <c r="P6" s="283"/>
    </row>
    <row r="7" spans="1:16" ht="16.5" customHeight="1">
      <c r="A7" s="300" t="s">
        <v>38</v>
      </c>
      <c r="B7" s="28">
        <f>C7+D7</f>
        <v>1484</v>
      </c>
      <c r="C7" s="3">
        <v>764</v>
      </c>
      <c r="D7" s="311">
        <v>720</v>
      </c>
      <c r="E7" s="21">
        <v>30</v>
      </c>
      <c r="F7" s="28">
        <f>G7+H7</f>
        <v>1535</v>
      </c>
      <c r="G7" s="3">
        <v>765</v>
      </c>
      <c r="H7" s="311">
        <v>770</v>
      </c>
      <c r="I7" s="22">
        <v>60</v>
      </c>
      <c r="J7" s="28">
        <f>K7+L7</f>
        <v>1462</v>
      </c>
      <c r="K7" s="3">
        <v>710</v>
      </c>
      <c r="L7" s="311">
        <v>752</v>
      </c>
      <c r="M7" s="21">
        <v>90</v>
      </c>
      <c r="N7" s="28">
        <f>O7+P7</f>
        <v>169</v>
      </c>
      <c r="O7" s="3">
        <v>47</v>
      </c>
      <c r="P7" s="321">
        <v>122</v>
      </c>
    </row>
    <row r="8" spans="1:16" ht="16.5" customHeight="1">
      <c r="A8" s="300" t="s">
        <v>39</v>
      </c>
      <c r="B8" s="28">
        <f>C8+D8</f>
        <v>1498</v>
      </c>
      <c r="C8" s="3">
        <v>739</v>
      </c>
      <c r="D8" s="311">
        <v>759</v>
      </c>
      <c r="E8" s="21">
        <v>31</v>
      </c>
      <c r="F8" s="28">
        <f>G8+H8</f>
        <v>1533</v>
      </c>
      <c r="G8" s="3">
        <v>720</v>
      </c>
      <c r="H8" s="311">
        <v>813</v>
      </c>
      <c r="I8" s="22">
        <v>61</v>
      </c>
      <c r="J8" s="28">
        <f>K8+L8</f>
        <v>1517</v>
      </c>
      <c r="K8" s="3">
        <v>716</v>
      </c>
      <c r="L8" s="311">
        <v>801</v>
      </c>
      <c r="M8" s="21">
        <v>91</v>
      </c>
      <c r="N8" s="28">
        <f>O8+P8</f>
        <v>124</v>
      </c>
      <c r="O8" s="3">
        <v>29</v>
      </c>
      <c r="P8" s="321">
        <v>95</v>
      </c>
    </row>
    <row r="9" spans="1:16" ht="16.5" customHeight="1">
      <c r="A9" s="300" t="s">
        <v>40</v>
      </c>
      <c r="B9" s="28">
        <f>C9+D9</f>
        <v>1446</v>
      </c>
      <c r="C9" s="3">
        <v>737</v>
      </c>
      <c r="D9" s="311">
        <v>709</v>
      </c>
      <c r="E9" s="21">
        <v>32</v>
      </c>
      <c r="F9" s="28">
        <f>G9+H9</f>
        <v>1559</v>
      </c>
      <c r="G9" s="3">
        <v>755</v>
      </c>
      <c r="H9" s="311">
        <v>804</v>
      </c>
      <c r="I9" s="22">
        <v>62</v>
      </c>
      <c r="J9" s="28">
        <f>K9+L9</f>
        <v>1457</v>
      </c>
      <c r="K9" s="3">
        <v>724</v>
      </c>
      <c r="L9" s="311">
        <v>733</v>
      </c>
      <c r="M9" s="21">
        <v>92</v>
      </c>
      <c r="N9" s="28">
        <f>O9+P9</f>
        <v>94</v>
      </c>
      <c r="O9" s="3">
        <v>21</v>
      </c>
      <c r="P9" s="321">
        <v>73</v>
      </c>
    </row>
    <row r="10" spans="1:16" ht="16.5" customHeight="1">
      <c r="A10" s="300" t="s">
        <v>41</v>
      </c>
      <c r="B10" s="28">
        <f>C10+D10</f>
        <v>1442</v>
      </c>
      <c r="C10" s="3">
        <v>753</v>
      </c>
      <c r="D10" s="311">
        <v>689</v>
      </c>
      <c r="E10" s="21">
        <v>33</v>
      </c>
      <c r="F10" s="28">
        <f>G10+H10</f>
        <v>1647</v>
      </c>
      <c r="G10" s="3">
        <v>780</v>
      </c>
      <c r="H10" s="311">
        <v>867</v>
      </c>
      <c r="I10" s="22">
        <v>63</v>
      </c>
      <c r="J10" s="28">
        <f>K10+L10</f>
        <v>1402</v>
      </c>
      <c r="K10" s="3">
        <v>697</v>
      </c>
      <c r="L10" s="311">
        <v>705</v>
      </c>
      <c r="M10" s="21">
        <v>93</v>
      </c>
      <c r="N10" s="28">
        <f>O10+P10</f>
        <v>112</v>
      </c>
      <c r="O10" s="3">
        <v>23</v>
      </c>
      <c r="P10" s="321">
        <v>89</v>
      </c>
    </row>
    <row r="11" spans="1:16" ht="16.5" customHeight="1">
      <c r="A11" s="300" t="s">
        <v>42</v>
      </c>
      <c r="B11" s="28">
        <f>C11+D11</f>
        <v>1453</v>
      </c>
      <c r="C11" s="3">
        <v>711</v>
      </c>
      <c r="D11" s="311">
        <v>742</v>
      </c>
      <c r="E11" s="21">
        <v>34</v>
      </c>
      <c r="F11" s="28">
        <f>G11+H11</f>
        <v>1684</v>
      </c>
      <c r="G11" s="3">
        <v>866</v>
      </c>
      <c r="H11" s="311">
        <v>818</v>
      </c>
      <c r="I11" s="22">
        <v>64</v>
      </c>
      <c r="J11" s="28">
        <f>K11+L11</f>
        <v>1382</v>
      </c>
      <c r="K11" s="3">
        <v>687</v>
      </c>
      <c r="L11" s="311">
        <v>695</v>
      </c>
      <c r="M11" s="21">
        <v>94</v>
      </c>
      <c r="N11" s="28">
        <f>O11+P11</f>
        <v>56</v>
      </c>
      <c r="O11" s="3">
        <v>12</v>
      </c>
      <c r="P11" s="321">
        <v>44</v>
      </c>
    </row>
    <row r="12" spans="1:16" ht="16.5" customHeight="1">
      <c r="A12" s="301" t="s">
        <v>43</v>
      </c>
      <c r="B12" s="25">
        <f>SUM(B7:B11)</f>
        <v>7323</v>
      </c>
      <c r="C12" s="40">
        <f>SUM(C7:C11)</f>
        <v>3704</v>
      </c>
      <c r="D12" s="40">
        <f>SUM(D7:D11)</f>
        <v>3619</v>
      </c>
      <c r="E12" s="24" t="s">
        <v>44</v>
      </c>
      <c r="F12" s="25">
        <f>SUM(F7:F11)</f>
        <v>7958</v>
      </c>
      <c r="G12" s="40">
        <f>SUM(G7:G11)</f>
        <v>3886</v>
      </c>
      <c r="H12" s="547">
        <f>SUM(H7:H11)</f>
        <v>4072</v>
      </c>
      <c r="I12" s="29" t="s">
        <v>45</v>
      </c>
      <c r="J12" s="25">
        <f>SUM(J7:J11)</f>
        <v>7220</v>
      </c>
      <c r="K12" s="40">
        <f>SUM(K7:K11)</f>
        <v>3534</v>
      </c>
      <c r="L12" s="40">
        <f>SUM(L7:L11)</f>
        <v>3686</v>
      </c>
      <c r="M12" s="24" t="s">
        <v>46</v>
      </c>
      <c r="N12" s="25">
        <f>SUM(N7:N11)</f>
        <v>555</v>
      </c>
      <c r="O12" s="40">
        <f>SUM(O7:O11)</f>
        <v>132</v>
      </c>
      <c r="P12" s="376">
        <f>SUM(P7:P11)</f>
        <v>423</v>
      </c>
    </row>
    <row r="13" spans="1:16" ht="16.5" customHeight="1">
      <c r="A13" s="302"/>
      <c r="B13" s="28"/>
      <c r="C13" s="3"/>
      <c r="D13" s="311"/>
      <c r="E13" s="26"/>
      <c r="F13" s="28"/>
      <c r="G13" s="3"/>
      <c r="H13" s="311"/>
      <c r="I13" s="26"/>
      <c r="J13" s="28"/>
      <c r="K13" s="3"/>
      <c r="L13" s="311"/>
      <c r="M13" s="26"/>
      <c r="N13" s="28"/>
      <c r="O13" s="3"/>
      <c r="P13" s="321"/>
    </row>
    <row r="14" spans="1:16" ht="16.5" customHeight="1">
      <c r="A14" s="300" t="s">
        <v>47</v>
      </c>
      <c r="B14" s="28">
        <f>C14+D14</f>
        <v>1408</v>
      </c>
      <c r="C14" s="3">
        <v>710</v>
      </c>
      <c r="D14" s="311">
        <v>698</v>
      </c>
      <c r="E14" s="21">
        <v>35</v>
      </c>
      <c r="F14" s="28">
        <f>G14+H14</f>
        <v>1671</v>
      </c>
      <c r="G14" s="3">
        <v>803</v>
      </c>
      <c r="H14" s="311">
        <v>868</v>
      </c>
      <c r="I14" s="21">
        <v>65</v>
      </c>
      <c r="J14" s="28">
        <f>K14+L14</f>
        <v>1352</v>
      </c>
      <c r="K14" s="3">
        <v>679</v>
      </c>
      <c r="L14" s="311">
        <v>673</v>
      </c>
      <c r="M14" s="21">
        <v>95</v>
      </c>
      <c r="N14" s="28">
        <f>O14+P14</f>
        <v>53</v>
      </c>
      <c r="O14" s="3">
        <v>7</v>
      </c>
      <c r="P14" s="321">
        <v>46</v>
      </c>
    </row>
    <row r="15" spans="1:16" ht="16.5" customHeight="1">
      <c r="A15" s="300" t="s">
        <v>48</v>
      </c>
      <c r="B15" s="28">
        <f>C15+D15</f>
        <v>1485</v>
      </c>
      <c r="C15" s="3">
        <v>774</v>
      </c>
      <c r="D15" s="311">
        <v>711</v>
      </c>
      <c r="E15" s="21">
        <v>36</v>
      </c>
      <c r="F15" s="28">
        <f>G15+H15</f>
        <v>1758</v>
      </c>
      <c r="G15" s="3">
        <v>873</v>
      </c>
      <c r="H15" s="311">
        <v>885</v>
      </c>
      <c r="I15" s="21">
        <v>66</v>
      </c>
      <c r="J15" s="28">
        <f>K15+L15</f>
        <v>636</v>
      </c>
      <c r="K15" s="3">
        <v>307</v>
      </c>
      <c r="L15" s="311">
        <v>329</v>
      </c>
      <c r="M15" s="21">
        <v>96</v>
      </c>
      <c r="N15" s="28">
        <f>O15+P15</f>
        <v>47</v>
      </c>
      <c r="O15" s="3">
        <v>7</v>
      </c>
      <c r="P15" s="321">
        <v>40</v>
      </c>
    </row>
    <row r="16" spans="1:16" ht="16.5" customHeight="1">
      <c r="A16" s="300" t="s">
        <v>49</v>
      </c>
      <c r="B16" s="28">
        <f>C16+D16</f>
        <v>1333</v>
      </c>
      <c r="C16" s="3">
        <v>700</v>
      </c>
      <c r="D16" s="311">
        <v>633</v>
      </c>
      <c r="E16" s="21">
        <v>37</v>
      </c>
      <c r="F16" s="28">
        <f>G16+H16</f>
        <v>1804</v>
      </c>
      <c r="G16" s="3">
        <v>886</v>
      </c>
      <c r="H16" s="311">
        <v>918</v>
      </c>
      <c r="I16" s="21">
        <v>67</v>
      </c>
      <c r="J16" s="28">
        <f>K16+L16</f>
        <v>580</v>
      </c>
      <c r="K16" s="3">
        <v>280</v>
      </c>
      <c r="L16" s="311">
        <v>300</v>
      </c>
      <c r="M16" s="21">
        <v>97</v>
      </c>
      <c r="N16" s="28">
        <f>O16+P16</f>
        <v>31</v>
      </c>
      <c r="O16" s="3">
        <v>6</v>
      </c>
      <c r="P16" s="321">
        <v>25</v>
      </c>
    </row>
    <row r="17" spans="1:16" ht="16.5" customHeight="1">
      <c r="A17" s="300" t="s">
        <v>50</v>
      </c>
      <c r="B17" s="28">
        <f>C17+D17</f>
        <v>1415</v>
      </c>
      <c r="C17" s="3">
        <v>745</v>
      </c>
      <c r="D17" s="311">
        <v>670</v>
      </c>
      <c r="E17" s="21">
        <v>38</v>
      </c>
      <c r="F17" s="28">
        <f>G17+H17</f>
        <v>1991</v>
      </c>
      <c r="G17" s="3">
        <v>991</v>
      </c>
      <c r="H17" s="311">
        <v>1000</v>
      </c>
      <c r="I17" s="21">
        <v>68</v>
      </c>
      <c r="J17" s="28">
        <f>K17+L17</f>
        <v>817</v>
      </c>
      <c r="K17" s="3">
        <v>385</v>
      </c>
      <c r="L17" s="311">
        <v>432</v>
      </c>
      <c r="M17" s="21">
        <v>98</v>
      </c>
      <c r="N17" s="28">
        <f>O17+P17</f>
        <v>28</v>
      </c>
      <c r="O17" s="3">
        <v>8</v>
      </c>
      <c r="P17" s="321">
        <v>20</v>
      </c>
    </row>
    <row r="18" spans="1:16" ht="16.5" customHeight="1">
      <c r="A18" s="300" t="s">
        <v>51</v>
      </c>
      <c r="B18" s="28">
        <f>C18+D18</f>
        <v>1441</v>
      </c>
      <c r="C18" s="3">
        <v>749</v>
      </c>
      <c r="D18" s="311">
        <v>692</v>
      </c>
      <c r="E18" s="21">
        <v>39</v>
      </c>
      <c r="F18" s="28">
        <f>G18+H18</f>
        <v>1947</v>
      </c>
      <c r="G18" s="3">
        <v>939</v>
      </c>
      <c r="H18" s="311">
        <v>1008</v>
      </c>
      <c r="I18" s="21">
        <v>69</v>
      </c>
      <c r="J18" s="28">
        <f>K18+L18</f>
        <v>902</v>
      </c>
      <c r="K18" s="3">
        <v>432</v>
      </c>
      <c r="L18" s="311">
        <v>470</v>
      </c>
      <c r="M18" s="21">
        <v>99</v>
      </c>
      <c r="N18" s="28">
        <f>O18+P18</f>
        <v>15</v>
      </c>
      <c r="O18" s="3">
        <v>2</v>
      </c>
      <c r="P18" s="321">
        <v>13</v>
      </c>
    </row>
    <row r="19" spans="1:16" ht="16.5" customHeight="1">
      <c r="A19" s="301" t="s">
        <v>52</v>
      </c>
      <c r="B19" s="25">
        <f>SUM(B14:B18)</f>
        <v>7082</v>
      </c>
      <c r="C19" s="40">
        <f>SUM(C14:C18)</f>
        <v>3678</v>
      </c>
      <c r="D19" s="40">
        <f>SUM(D14:D18)</f>
        <v>3404</v>
      </c>
      <c r="E19" s="24" t="s">
        <v>53</v>
      </c>
      <c r="F19" s="25">
        <f>SUM(F14:F18)</f>
        <v>9171</v>
      </c>
      <c r="G19" s="40">
        <f>SUM(G14:G18)</f>
        <v>4492</v>
      </c>
      <c r="H19" s="547">
        <f>SUM(H14:H18)</f>
        <v>4679</v>
      </c>
      <c r="I19" s="24" t="s">
        <v>54</v>
      </c>
      <c r="J19" s="25">
        <f>SUM(J14:J18)</f>
        <v>4287</v>
      </c>
      <c r="K19" s="40">
        <f>SUM(K14:K18)</f>
        <v>2083</v>
      </c>
      <c r="L19" s="40">
        <f>SUM(L14:L18)</f>
        <v>2204</v>
      </c>
      <c r="M19" s="24" t="s">
        <v>55</v>
      </c>
      <c r="N19" s="25">
        <f>SUM(N14:N18)</f>
        <v>174</v>
      </c>
      <c r="O19" s="40">
        <f>SUM(O14:O18)</f>
        <v>30</v>
      </c>
      <c r="P19" s="376">
        <f>SUM(P14:P18)</f>
        <v>144</v>
      </c>
    </row>
    <row r="20" spans="1:16" ht="16.5" customHeight="1">
      <c r="A20" s="298"/>
      <c r="B20" s="28"/>
      <c r="C20" s="3"/>
      <c r="D20" s="311"/>
      <c r="E20" s="26"/>
      <c r="F20" s="28"/>
      <c r="G20" s="3"/>
      <c r="H20" s="311"/>
      <c r="I20" s="26"/>
      <c r="J20" s="28"/>
      <c r="K20" s="3"/>
      <c r="L20" s="311"/>
      <c r="M20" s="26"/>
      <c r="N20" s="28"/>
      <c r="O20" s="3"/>
      <c r="P20" s="321"/>
    </row>
    <row r="21" spans="1:16" ht="16.5" customHeight="1">
      <c r="A21" s="297">
        <v>10</v>
      </c>
      <c r="B21" s="28">
        <f>C21+D21</f>
        <v>1417</v>
      </c>
      <c r="C21" s="3">
        <v>732</v>
      </c>
      <c r="D21" s="311">
        <v>685</v>
      </c>
      <c r="E21" s="21">
        <v>40</v>
      </c>
      <c r="F21" s="28">
        <f>G21+H21</f>
        <v>1939</v>
      </c>
      <c r="G21" s="3">
        <v>993</v>
      </c>
      <c r="H21" s="311">
        <v>946</v>
      </c>
      <c r="I21" s="21">
        <v>70</v>
      </c>
      <c r="J21" s="28">
        <f>K21+L21</f>
        <v>881</v>
      </c>
      <c r="K21" s="3">
        <v>419</v>
      </c>
      <c r="L21" s="311">
        <v>462</v>
      </c>
      <c r="M21" s="21">
        <v>100</v>
      </c>
      <c r="N21" s="28">
        <f>O21+P21</f>
        <v>10</v>
      </c>
      <c r="O21" s="3">
        <v>2</v>
      </c>
      <c r="P21" s="321">
        <v>8</v>
      </c>
    </row>
    <row r="22" spans="1:16" ht="16.5" customHeight="1">
      <c r="A22" s="297">
        <v>11</v>
      </c>
      <c r="B22" s="28">
        <f>C22+D22</f>
        <v>1523</v>
      </c>
      <c r="C22" s="3">
        <v>775</v>
      </c>
      <c r="D22" s="311">
        <v>748</v>
      </c>
      <c r="E22" s="21">
        <v>41</v>
      </c>
      <c r="F22" s="28">
        <f>G22+H22</f>
        <v>1853</v>
      </c>
      <c r="G22" s="3">
        <v>900</v>
      </c>
      <c r="H22" s="311">
        <v>953</v>
      </c>
      <c r="I22" s="21">
        <v>71</v>
      </c>
      <c r="J22" s="28">
        <f>K22+L22</f>
        <v>986</v>
      </c>
      <c r="K22" s="3">
        <v>462</v>
      </c>
      <c r="L22" s="311">
        <v>524</v>
      </c>
      <c r="M22" s="21">
        <v>101</v>
      </c>
      <c r="N22" s="28">
        <f>O22+P22</f>
        <v>12</v>
      </c>
      <c r="O22" s="3">
        <v>2</v>
      </c>
      <c r="P22" s="321">
        <v>10</v>
      </c>
    </row>
    <row r="23" spans="1:16" ht="16.5" customHeight="1">
      <c r="A23" s="297">
        <v>12</v>
      </c>
      <c r="B23" s="28">
        <f>C23+D23</f>
        <v>1446</v>
      </c>
      <c r="C23" s="3">
        <v>722</v>
      </c>
      <c r="D23" s="311">
        <v>724</v>
      </c>
      <c r="E23" s="21">
        <v>42</v>
      </c>
      <c r="F23" s="28">
        <f>G23+H23</f>
        <v>1728</v>
      </c>
      <c r="G23" s="3">
        <v>818</v>
      </c>
      <c r="H23" s="311">
        <v>910</v>
      </c>
      <c r="I23" s="21">
        <v>72</v>
      </c>
      <c r="J23" s="28">
        <f>K23+L23</f>
        <v>928</v>
      </c>
      <c r="K23" s="3">
        <v>443</v>
      </c>
      <c r="L23" s="311">
        <v>485</v>
      </c>
      <c r="M23" s="21">
        <v>102</v>
      </c>
      <c r="N23" s="28">
        <f>O23+P23</f>
        <v>8</v>
      </c>
      <c r="O23" s="3">
        <v>1</v>
      </c>
      <c r="P23" s="321">
        <v>7</v>
      </c>
    </row>
    <row r="24" spans="1:16" ht="16.5" customHeight="1">
      <c r="A24" s="297">
        <v>13</v>
      </c>
      <c r="B24" s="28">
        <f>C24+D24</f>
        <v>1436</v>
      </c>
      <c r="C24" s="3">
        <v>744</v>
      </c>
      <c r="D24" s="311">
        <v>692</v>
      </c>
      <c r="E24" s="21">
        <v>43</v>
      </c>
      <c r="F24" s="28">
        <f>G24+H24</f>
        <v>1684</v>
      </c>
      <c r="G24" s="3">
        <v>857</v>
      </c>
      <c r="H24" s="311">
        <v>827</v>
      </c>
      <c r="I24" s="21">
        <v>73</v>
      </c>
      <c r="J24" s="28">
        <f>K24+L24</f>
        <v>874</v>
      </c>
      <c r="K24" s="3">
        <v>417</v>
      </c>
      <c r="L24" s="311">
        <v>457</v>
      </c>
      <c r="M24" s="21">
        <v>103</v>
      </c>
      <c r="N24" s="28">
        <f>O24+P24</f>
        <v>8</v>
      </c>
      <c r="O24" s="3">
        <v>2</v>
      </c>
      <c r="P24" s="321">
        <v>6</v>
      </c>
    </row>
    <row r="25" spans="1:16" ht="16.5" customHeight="1">
      <c r="A25" s="297">
        <v>14</v>
      </c>
      <c r="B25" s="28">
        <f>C25+D25</f>
        <v>1513</v>
      </c>
      <c r="C25" s="3">
        <v>787</v>
      </c>
      <c r="D25" s="311">
        <v>726</v>
      </c>
      <c r="E25" s="21">
        <v>44</v>
      </c>
      <c r="F25" s="28">
        <f>G25+H25</f>
        <v>1779</v>
      </c>
      <c r="G25" s="3">
        <v>869</v>
      </c>
      <c r="H25" s="311">
        <v>910</v>
      </c>
      <c r="I25" s="21">
        <v>74</v>
      </c>
      <c r="J25" s="28">
        <f>K25+L25</f>
        <v>830</v>
      </c>
      <c r="K25" s="3">
        <v>411</v>
      </c>
      <c r="L25" s="311">
        <v>419</v>
      </c>
      <c r="M25" s="21">
        <v>104</v>
      </c>
      <c r="N25" s="28">
        <f>O25+P25</f>
        <v>2</v>
      </c>
      <c r="O25" s="548">
        <v>1</v>
      </c>
      <c r="P25" s="321">
        <v>1</v>
      </c>
    </row>
    <row r="26" spans="1:16" ht="16.5" customHeight="1">
      <c r="A26" s="299" t="s">
        <v>56</v>
      </c>
      <c r="B26" s="25">
        <f>SUM(B21:B25)</f>
        <v>7335</v>
      </c>
      <c r="C26" s="40">
        <f>SUM(C21:C25)</f>
        <v>3760</v>
      </c>
      <c r="D26" s="40">
        <f>SUM(D21:D25)</f>
        <v>3575</v>
      </c>
      <c r="E26" s="24" t="s">
        <v>57</v>
      </c>
      <c r="F26" s="25">
        <f>SUM(F21:F25)</f>
        <v>8983</v>
      </c>
      <c r="G26" s="40">
        <f>SUM(G21:G25)</f>
        <v>4437</v>
      </c>
      <c r="H26" s="547">
        <f>SUM(H21:H25)</f>
        <v>4546</v>
      </c>
      <c r="I26" s="29" t="s">
        <v>58</v>
      </c>
      <c r="J26" s="25">
        <f>SUM(J21:J25)</f>
        <v>4499</v>
      </c>
      <c r="K26" s="40">
        <f>SUM(K21:K25)</f>
        <v>2152</v>
      </c>
      <c r="L26" s="40">
        <f>SUM(L21:L25)</f>
        <v>2347</v>
      </c>
      <c r="M26" s="24" t="s">
        <v>59</v>
      </c>
      <c r="N26" s="25">
        <f>SUM(N21:N25)</f>
        <v>40</v>
      </c>
      <c r="O26" s="40">
        <f>SUM(O21:O25)</f>
        <v>8</v>
      </c>
      <c r="P26" s="376">
        <f>SUM(P21:P25)</f>
        <v>32</v>
      </c>
    </row>
    <row r="27" spans="1:16" ht="16.5" customHeight="1">
      <c r="A27" s="298"/>
      <c r="B27" s="28"/>
      <c r="C27" s="3"/>
      <c r="D27" s="311"/>
      <c r="E27" s="26"/>
      <c r="F27" s="28"/>
      <c r="G27" s="3"/>
      <c r="H27" s="311"/>
      <c r="I27" s="26"/>
      <c r="J27" s="28"/>
      <c r="K27" s="3"/>
      <c r="L27" s="311"/>
      <c r="M27" s="26"/>
      <c r="N27" s="28"/>
      <c r="O27" s="3"/>
      <c r="P27" s="321"/>
    </row>
    <row r="28" spans="1:16" ht="16.5" customHeight="1">
      <c r="A28" s="297">
        <v>15</v>
      </c>
      <c r="B28" s="28">
        <f>C28+D28</f>
        <v>1406</v>
      </c>
      <c r="C28" s="3">
        <v>742</v>
      </c>
      <c r="D28" s="311">
        <v>664</v>
      </c>
      <c r="E28" s="21">
        <v>45</v>
      </c>
      <c r="F28" s="28">
        <f>G28+H28</f>
        <v>1743</v>
      </c>
      <c r="G28" s="3">
        <v>854</v>
      </c>
      <c r="H28" s="311">
        <v>889</v>
      </c>
      <c r="I28" s="21">
        <v>75</v>
      </c>
      <c r="J28" s="28">
        <f>K28+L28</f>
        <v>805</v>
      </c>
      <c r="K28" s="3">
        <v>366</v>
      </c>
      <c r="L28" s="311">
        <v>439</v>
      </c>
      <c r="M28" s="24" t="s">
        <v>60</v>
      </c>
      <c r="N28" s="25">
        <f>SUM(O28:P28)</f>
        <v>5</v>
      </c>
      <c r="O28" s="549">
        <v>1</v>
      </c>
      <c r="P28" s="376">
        <v>4</v>
      </c>
    </row>
    <row r="29" spans="1:16" ht="16.5" customHeight="1">
      <c r="A29" s="297">
        <v>16</v>
      </c>
      <c r="B29" s="28">
        <f>C29+D29</f>
        <v>1414</v>
      </c>
      <c r="C29" s="3">
        <v>745</v>
      </c>
      <c r="D29" s="311">
        <v>669</v>
      </c>
      <c r="E29" s="21">
        <v>46</v>
      </c>
      <c r="F29" s="28">
        <f>G29+H29</f>
        <v>1400</v>
      </c>
      <c r="G29" s="3">
        <v>668</v>
      </c>
      <c r="H29" s="311">
        <v>732</v>
      </c>
      <c r="I29" s="21">
        <v>76</v>
      </c>
      <c r="J29" s="28">
        <f>K29+L29</f>
        <v>799</v>
      </c>
      <c r="K29" s="3">
        <v>353</v>
      </c>
      <c r="L29" s="311">
        <v>446</v>
      </c>
      <c r="M29" s="26"/>
      <c r="N29" s="28"/>
      <c r="O29" s="3"/>
      <c r="P29" s="321"/>
    </row>
    <row r="30" spans="1:16" ht="16.5" customHeight="1">
      <c r="A30" s="297">
        <v>17</v>
      </c>
      <c r="B30" s="28">
        <f>C30+D30</f>
        <v>1417</v>
      </c>
      <c r="C30" s="3">
        <v>721</v>
      </c>
      <c r="D30" s="311">
        <v>696</v>
      </c>
      <c r="E30" s="21">
        <v>47</v>
      </c>
      <c r="F30" s="28">
        <f>G30+H30</f>
        <v>1442</v>
      </c>
      <c r="G30" s="3">
        <v>693</v>
      </c>
      <c r="H30" s="311">
        <v>749</v>
      </c>
      <c r="I30" s="21">
        <v>77</v>
      </c>
      <c r="J30" s="28">
        <f>K30+L30</f>
        <v>733</v>
      </c>
      <c r="K30" s="3">
        <v>319</v>
      </c>
      <c r="L30" s="311">
        <v>414</v>
      </c>
      <c r="M30" s="26"/>
      <c r="N30" s="28"/>
      <c r="O30" s="3"/>
      <c r="P30" s="321"/>
    </row>
    <row r="31" spans="1:16" ht="16.5" customHeight="1">
      <c r="A31" s="297">
        <v>18</v>
      </c>
      <c r="B31" s="28">
        <f>C31+D31</f>
        <v>1387</v>
      </c>
      <c r="C31" s="3">
        <v>697</v>
      </c>
      <c r="D31" s="311">
        <v>690</v>
      </c>
      <c r="E31" s="21">
        <v>48</v>
      </c>
      <c r="F31" s="28">
        <f>G31+H31</f>
        <v>1484</v>
      </c>
      <c r="G31" s="3">
        <v>744</v>
      </c>
      <c r="H31" s="311">
        <v>740</v>
      </c>
      <c r="I31" s="21">
        <v>78</v>
      </c>
      <c r="J31" s="28">
        <f>K31+L31</f>
        <v>712</v>
      </c>
      <c r="K31" s="3">
        <v>306</v>
      </c>
      <c r="L31" s="311">
        <v>406</v>
      </c>
      <c r="M31" s="26" t="s">
        <v>61</v>
      </c>
      <c r="N31" s="28"/>
      <c r="O31" s="3"/>
      <c r="P31" s="321"/>
    </row>
    <row r="32" spans="1:16" ht="16.5" customHeight="1">
      <c r="A32" s="297">
        <v>19</v>
      </c>
      <c r="B32" s="28">
        <f>C32+D32</f>
        <v>1281</v>
      </c>
      <c r="C32" s="3">
        <v>657</v>
      </c>
      <c r="D32" s="311">
        <v>624</v>
      </c>
      <c r="E32" s="21">
        <v>49</v>
      </c>
      <c r="F32" s="28">
        <f>G32+H32</f>
        <v>1530</v>
      </c>
      <c r="G32" s="3">
        <v>734</v>
      </c>
      <c r="H32" s="311">
        <v>796</v>
      </c>
      <c r="I32" s="21">
        <v>79</v>
      </c>
      <c r="J32" s="28">
        <f>K32+L32</f>
        <v>624</v>
      </c>
      <c r="K32" s="3">
        <v>291</v>
      </c>
      <c r="L32" s="311">
        <v>333</v>
      </c>
      <c r="M32" s="26" t="s">
        <v>62</v>
      </c>
      <c r="N32" s="28">
        <f>SUM(O32:P32)</f>
        <v>85100</v>
      </c>
      <c r="O32" s="3">
        <v>41076</v>
      </c>
      <c r="P32" s="321">
        <v>44024</v>
      </c>
    </row>
    <row r="33" spans="1:19" ht="16.5" customHeight="1">
      <c r="A33" s="299" t="s">
        <v>63</v>
      </c>
      <c r="B33" s="25">
        <f>SUM(B28:B32)</f>
        <v>6905</v>
      </c>
      <c r="C33" s="40">
        <f>SUM(C28:C32)</f>
        <v>3562</v>
      </c>
      <c r="D33" s="40">
        <f>SUM(D28:D32)</f>
        <v>3343</v>
      </c>
      <c r="E33" s="24" t="s">
        <v>64</v>
      </c>
      <c r="F33" s="25">
        <f>SUM(F28:F32)</f>
        <v>7599</v>
      </c>
      <c r="G33" s="40">
        <f>SUM(G28:G32)</f>
        <v>3693</v>
      </c>
      <c r="H33" s="547">
        <f>SUM(H28:H32)</f>
        <v>3906</v>
      </c>
      <c r="I33" s="24" t="s">
        <v>65</v>
      </c>
      <c r="J33" s="25">
        <f>SUM(J28:J32)</f>
        <v>3673</v>
      </c>
      <c r="K33" s="40">
        <f>SUM(K28:K32)</f>
        <v>1635</v>
      </c>
      <c r="L33" s="40">
        <f>SUM(L28:L32)</f>
        <v>2038</v>
      </c>
      <c r="M33" s="26" t="s">
        <v>66</v>
      </c>
      <c r="N33" s="28">
        <f>SUM(O33:P33)</f>
        <v>54232</v>
      </c>
      <c r="O33" s="3">
        <v>26949</v>
      </c>
      <c r="P33" s="321">
        <v>27283</v>
      </c>
    </row>
    <row r="34" spans="1:19" ht="16.5" customHeight="1">
      <c r="A34" s="298"/>
      <c r="B34" s="28"/>
      <c r="C34" s="3"/>
      <c r="D34" s="311"/>
      <c r="E34" s="26"/>
      <c r="F34" s="28"/>
      <c r="G34" s="3"/>
      <c r="H34" s="311"/>
      <c r="I34" s="26"/>
      <c r="J34" s="28"/>
      <c r="K34" s="3"/>
      <c r="L34" s="311"/>
      <c r="M34" s="26" t="s">
        <v>67</v>
      </c>
      <c r="N34" s="28">
        <f>SUM(O34:P34)</f>
        <v>23835</v>
      </c>
      <c r="O34" s="3">
        <v>10843</v>
      </c>
      <c r="P34" s="321">
        <v>12992</v>
      </c>
    </row>
    <row r="35" spans="1:19" ht="16.5" customHeight="1">
      <c r="A35" s="297">
        <v>20</v>
      </c>
      <c r="B35" s="28">
        <f>C35+D35</f>
        <v>1277</v>
      </c>
      <c r="C35" s="3">
        <v>667</v>
      </c>
      <c r="D35" s="311">
        <v>610</v>
      </c>
      <c r="E35" s="21">
        <v>50</v>
      </c>
      <c r="F35" s="28">
        <f>G35+H35</f>
        <v>1429</v>
      </c>
      <c r="G35" s="3">
        <v>673</v>
      </c>
      <c r="H35" s="311">
        <v>756</v>
      </c>
      <c r="I35" s="21">
        <v>80</v>
      </c>
      <c r="J35" s="28">
        <f>K35+L35</f>
        <v>585</v>
      </c>
      <c r="K35" s="3">
        <v>253</v>
      </c>
      <c r="L35" s="311">
        <v>332</v>
      </c>
      <c r="M35" s="26" t="s">
        <v>68</v>
      </c>
      <c r="N35" s="28">
        <f>SUM(O35:P35)</f>
        <v>12328</v>
      </c>
      <c r="O35" s="3">
        <v>5226</v>
      </c>
      <c r="P35" s="321">
        <v>7102</v>
      </c>
    </row>
    <row r="36" spans="1:19" ht="16.5" customHeight="1">
      <c r="A36" s="297">
        <v>21</v>
      </c>
      <c r="B36" s="28">
        <f>C36+D36</f>
        <v>1231</v>
      </c>
      <c r="C36" s="3">
        <v>608</v>
      </c>
      <c r="D36" s="311">
        <v>623</v>
      </c>
      <c r="E36" s="21">
        <v>51</v>
      </c>
      <c r="F36" s="28">
        <f>G36+H36</f>
        <v>1473</v>
      </c>
      <c r="G36" s="3">
        <v>711</v>
      </c>
      <c r="H36" s="311">
        <v>762</v>
      </c>
      <c r="I36" s="21">
        <v>81</v>
      </c>
      <c r="J36" s="28">
        <f>K36+L36</f>
        <v>474</v>
      </c>
      <c r="K36" s="3">
        <v>193</v>
      </c>
      <c r="L36" s="311">
        <v>281</v>
      </c>
      <c r="M36" s="26" t="s">
        <v>69</v>
      </c>
      <c r="N36" s="28">
        <f>SUM(O36:P36)</f>
        <v>7829</v>
      </c>
      <c r="O36" s="3">
        <v>3074</v>
      </c>
      <c r="P36" s="321">
        <v>4755</v>
      </c>
      <c r="R36" s="30"/>
      <c r="S36" s="30"/>
    </row>
    <row r="37" spans="1:19" ht="16.5" customHeight="1">
      <c r="A37" s="297">
        <v>22</v>
      </c>
      <c r="B37" s="28">
        <f>C37+D37</f>
        <v>1246</v>
      </c>
      <c r="C37" s="3">
        <v>650</v>
      </c>
      <c r="D37" s="311">
        <v>596</v>
      </c>
      <c r="E37" s="21">
        <v>52</v>
      </c>
      <c r="F37" s="28">
        <f>G37+H37</f>
        <v>1419</v>
      </c>
      <c r="G37" s="3">
        <v>721</v>
      </c>
      <c r="H37" s="311">
        <v>698</v>
      </c>
      <c r="I37" s="21">
        <v>82</v>
      </c>
      <c r="J37" s="28">
        <f>K37+L37</f>
        <v>447</v>
      </c>
      <c r="K37" s="3">
        <v>195</v>
      </c>
      <c r="L37" s="311">
        <v>252</v>
      </c>
      <c r="M37" s="26"/>
      <c r="N37" s="28"/>
      <c r="O37" s="3"/>
      <c r="P37" s="321"/>
    </row>
    <row r="38" spans="1:19" ht="16.5" customHeight="1">
      <c r="A38" s="297">
        <v>23</v>
      </c>
      <c r="B38" s="28">
        <f>C38+D38</f>
        <v>1202</v>
      </c>
      <c r="C38" s="3">
        <v>627</v>
      </c>
      <c r="D38" s="311">
        <v>575</v>
      </c>
      <c r="E38" s="21">
        <v>53</v>
      </c>
      <c r="F38" s="28">
        <f>G38+H38</f>
        <v>1409</v>
      </c>
      <c r="G38" s="3">
        <v>697</v>
      </c>
      <c r="H38" s="311">
        <v>712</v>
      </c>
      <c r="I38" s="21">
        <v>83</v>
      </c>
      <c r="J38" s="28">
        <f>K38+L38</f>
        <v>385</v>
      </c>
      <c r="K38" s="3">
        <v>146</v>
      </c>
      <c r="L38" s="311">
        <v>239</v>
      </c>
      <c r="M38" s="26" t="s">
        <v>70</v>
      </c>
      <c r="N38" s="28">
        <f>SUM(O38:P38)</f>
        <v>21740</v>
      </c>
      <c r="O38" s="3">
        <v>11142</v>
      </c>
      <c r="P38" s="321">
        <v>10598</v>
      </c>
    </row>
    <row r="39" spans="1:19" ht="16.5" customHeight="1">
      <c r="A39" s="297">
        <v>24</v>
      </c>
      <c r="B39" s="28">
        <f>C39+D39</f>
        <v>1247</v>
      </c>
      <c r="C39" s="3">
        <v>614</v>
      </c>
      <c r="D39" s="311">
        <v>633</v>
      </c>
      <c r="E39" s="21">
        <v>54</v>
      </c>
      <c r="F39" s="28">
        <f>G39+H39</f>
        <v>1398</v>
      </c>
      <c r="G39" s="3">
        <v>712</v>
      </c>
      <c r="H39" s="311">
        <v>686</v>
      </c>
      <c r="I39" s="21">
        <v>84</v>
      </c>
      <c r="J39" s="28">
        <f>K39+L39</f>
        <v>354</v>
      </c>
      <c r="K39" s="3">
        <v>130</v>
      </c>
      <c r="L39" s="311">
        <v>224</v>
      </c>
      <c r="M39" s="26" t="s">
        <v>71</v>
      </c>
      <c r="N39" s="28">
        <f>SUM(O39:P39)</f>
        <v>75390</v>
      </c>
      <c r="O39" s="3">
        <v>37329</v>
      </c>
      <c r="P39" s="321">
        <v>38061</v>
      </c>
    </row>
    <row r="40" spans="1:19" ht="16.5" customHeight="1">
      <c r="A40" s="299" t="s">
        <v>72</v>
      </c>
      <c r="B40" s="25">
        <f>SUM(B35:B39)</f>
        <v>6203</v>
      </c>
      <c r="C40" s="40">
        <f>SUM(C35:C39)</f>
        <v>3166</v>
      </c>
      <c r="D40" s="40">
        <f>SUM(D35:D39)</f>
        <v>3037</v>
      </c>
      <c r="E40" s="24" t="s">
        <v>73</v>
      </c>
      <c r="F40" s="25">
        <f>SUM(F35:F39)</f>
        <v>7128</v>
      </c>
      <c r="G40" s="40">
        <f>SUM(G35:G39)</f>
        <v>3514</v>
      </c>
      <c r="H40" s="547">
        <f>SUM(H35:H39)</f>
        <v>3614</v>
      </c>
      <c r="I40" s="24" t="s">
        <v>74</v>
      </c>
      <c r="J40" s="25">
        <f>SUM(J35:J39)</f>
        <v>2245</v>
      </c>
      <c r="K40" s="40">
        <f>SUM(K35:K39)</f>
        <v>917</v>
      </c>
      <c r="L40" s="40">
        <f>SUM(L35:L39)</f>
        <v>1328</v>
      </c>
      <c r="M40" s="26" t="s">
        <v>75</v>
      </c>
      <c r="N40" s="28">
        <f>SUM(O40:P40)</f>
        <v>16615</v>
      </c>
      <c r="O40" s="3">
        <v>7309</v>
      </c>
      <c r="P40" s="321">
        <v>9306</v>
      </c>
    </row>
    <row r="41" spans="1:19" ht="16.5" customHeight="1">
      <c r="A41" s="298"/>
      <c r="B41" s="28"/>
      <c r="C41" s="3"/>
      <c r="D41" s="311"/>
      <c r="E41" s="26"/>
      <c r="F41" s="28"/>
      <c r="G41" s="3"/>
      <c r="H41" s="311"/>
      <c r="I41" s="26"/>
      <c r="J41" s="28"/>
      <c r="K41" s="3"/>
      <c r="L41" s="311"/>
      <c r="M41" s="26"/>
      <c r="N41" s="26"/>
      <c r="O41" s="262"/>
      <c r="P41" s="283"/>
    </row>
    <row r="42" spans="1:19" ht="16.5" customHeight="1">
      <c r="A42" s="297">
        <v>25</v>
      </c>
      <c r="B42" s="28">
        <f>C42+D42</f>
        <v>1288</v>
      </c>
      <c r="C42" s="3">
        <v>661</v>
      </c>
      <c r="D42" s="311">
        <v>627</v>
      </c>
      <c r="E42" s="21">
        <v>55</v>
      </c>
      <c r="F42" s="28">
        <f>G42+H42</f>
        <v>1280</v>
      </c>
      <c r="G42" s="3">
        <v>643</v>
      </c>
      <c r="H42" s="311">
        <v>637</v>
      </c>
      <c r="I42" s="21">
        <v>85</v>
      </c>
      <c r="J42" s="28">
        <f>K42+L42</f>
        <v>315</v>
      </c>
      <c r="K42" s="3">
        <v>109</v>
      </c>
      <c r="L42" s="311">
        <v>206</v>
      </c>
      <c r="M42" s="21" t="s">
        <v>76</v>
      </c>
      <c r="N42" s="26"/>
      <c r="O42" s="262"/>
      <c r="P42" s="283"/>
    </row>
    <row r="43" spans="1:19" ht="16.5" customHeight="1">
      <c r="A43" s="297">
        <v>26</v>
      </c>
      <c r="B43" s="28">
        <f>C43+D43</f>
        <v>1466</v>
      </c>
      <c r="C43" s="3">
        <v>750</v>
      </c>
      <c r="D43" s="311">
        <v>716</v>
      </c>
      <c r="E43" s="21">
        <v>56</v>
      </c>
      <c r="F43" s="28">
        <f>G43+H43</f>
        <v>1326</v>
      </c>
      <c r="G43" s="3">
        <v>661</v>
      </c>
      <c r="H43" s="311">
        <v>665</v>
      </c>
      <c r="I43" s="21">
        <v>86</v>
      </c>
      <c r="J43" s="28">
        <f>K43+L43</f>
        <v>242</v>
      </c>
      <c r="K43" s="3">
        <v>80</v>
      </c>
      <c r="L43" s="311">
        <v>162</v>
      </c>
      <c r="M43" s="26" t="s">
        <v>70</v>
      </c>
      <c r="N43" s="31">
        <f t="shared" ref="N43:P45" si="0">N38/$B$5</f>
        <v>0.19112928040793001</v>
      </c>
      <c r="O43" s="550">
        <f>O38/$B$5</f>
        <v>9.7955954107872875E-2</v>
      </c>
      <c r="P43" s="551">
        <f t="shared" si="0"/>
        <v>9.3173326300057147E-2</v>
      </c>
    </row>
    <row r="44" spans="1:19" ht="16.5" customHeight="1">
      <c r="A44" s="297">
        <v>27</v>
      </c>
      <c r="B44" s="28">
        <f>C44+D44</f>
        <v>1513</v>
      </c>
      <c r="C44" s="3">
        <v>752</v>
      </c>
      <c r="D44" s="311">
        <v>761</v>
      </c>
      <c r="E44" s="21">
        <v>57</v>
      </c>
      <c r="F44" s="28">
        <f>G44+H44</f>
        <v>1379</v>
      </c>
      <c r="G44" s="3">
        <v>676</v>
      </c>
      <c r="H44" s="311">
        <v>703</v>
      </c>
      <c r="I44" s="21">
        <v>87</v>
      </c>
      <c r="J44" s="28">
        <f>K44+L44</f>
        <v>229</v>
      </c>
      <c r="K44" s="3">
        <v>57</v>
      </c>
      <c r="L44" s="311">
        <v>172</v>
      </c>
      <c r="M44" s="26" t="s">
        <v>71</v>
      </c>
      <c r="N44" s="31">
        <f t="shared" si="0"/>
        <v>0.66279836476328635</v>
      </c>
      <c r="O44" s="550">
        <f t="shared" si="0"/>
        <v>0.32818145852564951</v>
      </c>
      <c r="P44" s="551">
        <f t="shared" si="0"/>
        <v>0.33461690623763685</v>
      </c>
    </row>
    <row r="45" spans="1:19" ht="16.5" customHeight="1">
      <c r="A45" s="297">
        <v>28</v>
      </c>
      <c r="B45" s="28">
        <f>C45+D45</f>
        <v>1574</v>
      </c>
      <c r="C45" s="3">
        <v>760</v>
      </c>
      <c r="D45" s="311">
        <v>814</v>
      </c>
      <c r="E45" s="21">
        <v>58</v>
      </c>
      <c r="F45" s="28">
        <f>G45+H45</f>
        <v>1402</v>
      </c>
      <c r="G45" s="3">
        <v>653</v>
      </c>
      <c r="H45" s="311">
        <v>749</v>
      </c>
      <c r="I45" s="21">
        <v>88</v>
      </c>
      <c r="J45" s="28">
        <f>K45+L45</f>
        <v>167</v>
      </c>
      <c r="K45" s="3">
        <v>48</v>
      </c>
      <c r="L45" s="311">
        <v>119</v>
      </c>
      <c r="M45" s="26" t="s">
        <v>75</v>
      </c>
      <c r="N45" s="31">
        <f t="shared" si="0"/>
        <v>0.1460723548287837</v>
      </c>
      <c r="O45" s="550">
        <f t="shared" si="0"/>
        <v>6.4257769572288889E-2</v>
      </c>
      <c r="P45" s="551">
        <f t="shared" si="0"/>
        <v>8.1814585256494793E-2</v>
      </c>
    </row>
    <row r="46" spans="1:19" ht="16.5" customHeight="1">
      <c r="A46" s="297">
        <v>29</v>
      </c>
      <c r="B46" s="28">
        <f>C46+D46</f>
        <v>1572</v>
      </c>
      <c r="C46" s="3">
        <v>790</v>
      </c>
      <c r="D46" s="311">
        <v>782</v>
      </c>
      <c r="E46" s="21">
        <v>59</v>
      </c>
      <c r="F46" s="28">
        <f>G46+H46</f>
        <v>1423</v>
      </c>
      <c r="G46" s="3">
        <v>699</v>
      </c>
      <c r="H46" s="311">
        <v>724</v>
      </c>
      <c r="I46" s="21">
        <v>89</v>
      </c>
      <c r="J46" s="28">
        <f>K46+L46</f>
        <v>184</v>
      </c>
      <c r="K46" s="3">
        <v>57</v>
      </c>
      <c r="L46" s="311">
        <v>127</v>
      </c>
      <c r="M46" s="26"/>
      <c r="N46" s="32"/>
      <c r="O46" s="318"/>
      <c r="P46" s="322"/>
    </row>
    <row r="47" spans="1:19" ht="16.5" customHeight="1">
      <c r="A47" s="299" t="s">
        <v>77</v>
      </c>
      <c r="B47" s="25">
        <f>SUM(B42:B46)</f>
        <v>7413</v>
      </c>
      <c r="C47" s="40">
        <f>SUM(C42:C46)</f>
        <v>3713</v>
      </c>
      <c r="D47" s="40">
        <f>SUM(D42:D46)</f>
        <v>3700</v>
      </c>
      <c r="E47" s="24" t="s">
        <v>78</v>
      </c>
      <c r="F47" s="25">
        <f>SUM(F42:F46)</f>
        <v>6810</v>
      </c>
      <c r="G47" s="40">
        <f>SUM(G42:G46)</f>
        <v>3332</v>
      </c>
      <c r="H47" s="547">
        <f>SUM(H42:H46)</f>
        <v>3478</v>
      </c>
      <c r="I47" s="24" t="s">
        <v>79</v>
      </c>
      <c r="J47" s="25">
        <f>SUM(J42:J46)</f>
        <v>1137</v>
      </c>
      <c r="K47" s="40">
        <f>SUM(K42:K46)</f>
        <v>351</v>
      </c>
      <c r="L47" s="40">
        <f>SUM(L42:L46)</f>
        <v>786</v>
      </c>
      <c r="M47" s="26" t="s">
        <v>80</v>
      </c>
      <c r="N47" s="33">
        <v>38.57</v>
      </c>
      <c r="O47" s="552">
        <v>37.5</v>
      </c>
      <c r="P47" s="553">
        <v>39.61</v>
      </c>
    </row>
    <row r="48" spans="1:19" ht="16.5" customHeight="1" thickBot="1">
      <c r="A48" s="303"/>
      <c r="B48" s="304"/>
      <c r="C48" s="296"/>
      <c r="D48" s="312"/>
      <c r="E48" s="305"/>
      <c r="F48" s="304"/>
      <c r="G48" s="296"/>
      <c r="H48" s="312"/>
      <c r="I48" s="305"/>
      <c r="J48" s="305"/>
      <c r="K48" s="319"/>
      <c r="L48" s="316"/>
      <c r="M48" s="305"/>
      <c r="N48" s="305"/>
      <c r="O48" s="319"/>
      <c r="P48" s="323"/>
    </row>
    <row r="49" spans="1:16" ht="18" customHeight="1">
      <c r="A49" s="16" t="s">
        <v>81</v>
      </c>
      <c r="B49" s="17"/>
      <c r="C49" s="17"/>
      <c r="D49" s="17"/>
      <c r="E49" s="325"/>
      <c r="F49" s="17"/>
      <c r="G49" s="17"/>
      <c r="H49" s="17"/>
      <c r="I49" s="326"/>
      <c r="J49" s="317"/>
      <c r="K49" s="317"/>
      <c r="L49" s="17"/>
      <c r="M49" s="325"/>
      <c r="N49" s="317"/>
      <c r="P49" s="16" t="s">
        <v>82</v>
      </c>
    </row>
  </sheetData>
  <sheetProtection selectLockedCells="1" selectUnlockedCells="1"/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&amp;L&amp;"ＭＳ 明朝,標準"&amp;10人　口</oddHeader>
    <oddFooter>&amp;C&amp;"ＭＳ 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59"/>
  <sheetViews>
    <sheetView view="pageBreakPreview" topLeftCell="I1" zoomScaleNormal="120" zoomScaleSheetLayoutView="100" workbookViewId="0">
      <selection activeCell="F49" sqref="F49"/>
    </sheetView>
  </sheetViews>
  <sheetFormatPr defaultRowHeight="17.100000000000001" customHeight="1"/>
  <cols>
    <col min="1" max="1" width="11.875" style="14" customWidth="1"/>
    <col min="2" max="4" width="11.25" style="14" customWidth="1"/>
    <col min="5" max="5" width="11.875" style="14" customWidth="1"/>
    <col min="6" max="8" width="11.25" style="14" customWidth="1"/>
    <col min="9" max="9" width="11.875" style="326" customWidth="1"/>
    <col min="10" max="12" width="11.25" style="14" customWidth="1"/>
    <col min="13" max="13" width="11.875" style="324" customWidth="1"/>
    <col min="14" max="16" width="11.25" style="14" customWidth="1"/>
    <col min="17" max="16384" width="9" style="14"/>
  </cols>
  <sheetData>
    <row r="1" spans="1:16" ht="5.0999999999999996" customHeight="1">
      <c r="A1" s="16"/>
      <c r="B1" s="17"/>
      <c r="C1" s="17"/>
      <c r="D1" s="17"/>
      <c r="E1" s="17"/>
      <c r="G1" s="17"/>
      <c r="H1" s="18"/>
      <c r="I1" s="16" t="s">
        <v>33</v>
      </c>
      <c r="J1" s="17"/>
      <c r="K1" s="17"/>
      <c r="L1" s="17"/>
      <c r="M1" s="325"/>
      <c r="O1" s="17"/>
      <c r="P1" s="18"/>
    </row>
    <row r="2" spans="1:16" ht="15" customHeight="1" thickBot="1">
      <c r="A2" s="325" t="s">
        <v>686</v>
      </c>
      <c r="B2" s="17"/>
      <c r="C2" s="17"/>
      <c r="D2" s="17"/>
      <c r="E2" s="325"/>
      <c r="G2" s="17"/>
      <c r="H2" s="18"/>
      <c r="I2" s="16"/>
      <c r="J2" s="17"/>
      <c r="K2" s="17"/>
      <c r="L2" s="17"/>
      <c r="M2" s="325"/>
      <c r="O2" s="17"/>
      <c r="P2" s="18" t="s">
        <v>34</v>
      </c>
    </row>
    <row r="3" spans="1:16" ht="24" customHeight="1">
      <c r="A3" s="292" t="s">
        <v>35</v>
      </c>
      <c r="B3" s="167" t="s">
        <v>36</v>
      </c>
      <c r="C3" s="167" t="s">
        <v>23</v>
      </c>
      <c r="D3" s="258" t="s">
        <v>24</v>
      </c>
      <c r="E3" s="167" t="s">
        <v>35</v>
      </c>
      <c r="F3" s="167" t="s">
        <v>36</v>
      </c>
      <c r="G3" s="167" t="s">
        <v>23</v>
      </c>
      <c r="H3" s="258" t="s">
        <v>24</v>
      </c>
      <c r="I3" s="258" t="s">
        <v>35</v>
      </c>
      <c r="J3" s="167" t="s">
        <v>36</v>
      </c>
      <c r="K3" s="167" t="s">
        <v>23</v>
      </c>
      <c r="L3" s="258" t="s">
        <v>24</v>
      </c>
      <c r="M3" s="167" t="s">
        <v>35</v>
      </c>
      <c r="N3" s="167" t="s">
        <v>36</v>
      </c>
      <c r="O3" s="167" t="s">
        <v>23</v>
      </c>
      <c r="P3" s="264" t="s">
        <v>24</v>
      </c>
    </row>
    <row r="4" spans="1:16" ht="7.5" customHeight="1">
      <c r="A4" s="297"/>
      <c r="B4" s="36"/>
      <c r="C4" s="313"/>
      <c r="D4" s="293"/>
      <c r="E4" s="21"/>
      <c r="F4" s="36"/>
      <c r="G4" s="313"/>
      <c r="H4" s="314"/>
      <c r="I4" s="22"/>
      <c r="J4" s="36"/>
      <c r="K4" s="313"/>
      <c r="L4" s="293"/>
      <c r="M4" s="21"/>
      <c r="N4" s="36"/>
      <c r="O4" s="313"/>
      <c r="P4" s="320"/>
    </row>
    <row r="5" spans="1:16" ht="16.5" customHeight="1">
      <c r="A5" s="299" t="s">
        <v>37</v>
      </c>
      <c r="B5" s="25">
        <f>SUM(C5:D5)</f>
        <v>113745</v>
      </c>
      <c r="C5" s="40">
        <f>C12+C19+‐40‐!C26+C33+C40+C47+G12+G19+G26+G33+G40+G47+K12+K19+K26+K33+K40+K47+O12+O19+O26+O28</f>
        <v>55780</v>
      </c>
      <c r="D5" s="40">
        <f>D12+D19+D26+D33+D40+D47+H12+H19+H26+H33+H40+H47+L12+L19+L26+L33+L40+L47+P12+P19+P26+P28</f>
        <v>57965</v>
      </c>
      <c r="E5" s="26"/>
      <c r="F5" s="26"/>
      <c r="G5" s="262"/>
      <c r="H5" s="315"/>
      <c r="I5" s="27"/>
      <c r="J5" s="26"/>
      <c r="K5" s="262"/>
      <c r="L5" s="315"/>
      <c r="M5" s="26"/>
      <c r="N5" s="26"/>
      <c r="O5" s="262"/>
      <c r="P5" s="283"/>
    </row>
    <row r="6" spans="1:16" ht="16.5" customHeight="1">
      <c r="A6" s="298"/>
      <c r="B6" s="28"/>
      <c r="C6" s="3"/>
      <c r="D6" s="311"/>
      <c r="E6" s="26"/>
      <c r="F6" s="26"/>
      <c r="G6" s="262"/>
      <c r="H6" s="315"/>
      <c r="I6" s="27"/>
      <c r="J6" s="26"/>
      <c r="K6" s="262"/>
      <c r="L6" s="315"/>
      <c r="M6" s="26"/>
      <c r="N6" s="26"/>
      <c r="O6" s="262"/>
      <c r="P6" s="283"/>
    </row>
    <row r="7" spans="1:16" ht="16.5" customHeight="1">
      <c r="A7" s="300" t="s">
        <v>38</v>
      </c>
      <c r="B7" s="28">
        <f>C7+D7</f>
        <v>1484</v>
      </c>
      <c r="C7" s="3">
        <v>764</v>
      </c>
      <c r="D7" s="311">
        <v>720</v>
      </c>
      <c r="E7" s="21">
        <v>30</v>
      </c>
      <c r="F7" s="28">
        <f>G7+H7</f>
        <v>1535</v>
      </c>
      <c r="G7" s="3">
        <v>765</v>
      </c>
      <c r="H7" s="311">
        <v>770</v>
      </c>
      <c r="I7" s="22">
        <v>60</v>
      </c>
      <c r="J7" s="28">
        <f>K7+L7</f>
        <v>1462</v>
      </c>
      <c r="K7" s="3">
        <v>710</v>
      </c>
      <c r="L7" s="311">
        <v>752</v>
      </c>
      <c r="M7" s="21">
        <v>90</v>
      </c>
      <c r="N7" s="28">
        <f>O7+P7</f>
        <v>169</v>
      </c>
      <c r="O7" s="3">
        <v>47</v>
      </c>
      <c r="P7" s="321">
        <v>122</v>
      </c>
    </row>
    <row r="8" spans="1:16" ht="16.5" customHeight="1">
      <c r="A8" s="300" t="s">
        <v>39</v>
      </c>
      <c r="B8" s="28">
        <f>C8+D8</f>
        <v>1498</v>
      </c>
      <c r="C8" s="3">
        <v>739</v>
      </c>
      <c r="D8" s="311">
        <v>759</v>
      </c>
      <c r="E8" s="21">
        <v>31</v>
      </c>
      <c r="F8" s="28">
        <f>G8+H8</f>
        <v>1533</v>
      </c>
      <c r="G8" s="3">
        <v>720</v>
      </c>
      <c r="H8" s="311">
        <v>813</v>
      </c>
      <c r="I8" s="22">
        <v>61</v>
      </c>
      <c r="J8" s="28">
        <f>K8+L8</f>
        <v>1517</v>
      </c>
      <c r="K8" s="3">
        <v>716</v>
      </c>
      <c r="L8" s="311">
        <v>801</v>
      </c>
      <c r="M8" s="21">
        <v>91</v>
      </c>
      <c r="N8" s="28">
        <f>O8+P8</f>
        <v>124</v>
      </c>
      <c r="O8" s="3">
        <v>29</v>
      </c>
      <c r="P8" s="321">
        <v>95</v>
      </c>
    </row>
    <row r="9" spans="1:16" ht="16.5" customHeight="1">
      <c r="A9" s="300" t="s">
        <v>40</v>
      </c>
      <c r="B9" s="28">
        <f>C9+D9</f>
        <v>1446</v>
      </c>
      <c r="C9" s="3">
        <v>737</v>
      </c>
      <c r="D9" s="311">
        <v>709</v>
      </c>
      <c r="E9" s="21">
        <v>32</v>
      </c>
      <c r="F9" s="28">
        <f>G9+H9</f>
        <v>1559</v>
      </c>
      <c r="G9" s="3">
        <v>755</v>
      </c>
      <c r="H9" s="311">
        <v>804</v>
      </c>
      <c r="I9" s="22">
        <v>62</v>
      </c>
      <c r="J9" s="28">
        <f>K9+L9</f>
        <v>1457</v>
      </c>
      <c r="K9" s="3">
        <v>724</v>
      </c>
      <c r="L9" s="311">
        <v>733</v>
      </c>
      <c r="M9" s="21">
        <v>92</v>
      </c>
      <c r="N9" s="28">
        <f>O9+P9</f>
        <v>94</v>
      </c>
      <c r="O9" s="3">
        <v>21</v>
      </c>
      <c r="P9" s="321">
        <v>73</v>
      </c>
    </row>
    <row r="10" spans="1:16" ht="16.5" customHeight="1">
      <c r="A10" s="300" t="s">
        <v>41</v>
      </c>
      <c r="B10" s="28">
        <f>C10+D10</f>
        <v>1442</v>
      </c>
      <c r="C10" s="3">
        <v>753</v>
      </c>
      <c r="D10" s="311">
        <v>689</v>
      </c>
      <c r="E10" s="21">
        <v>33</v>
      </c>
      <c r="F10" s="28">
        <f>G10+H10</f>
        <v>1647</v>
      </c>
      <c r="G10" s="3">
        <v>780</v>
      </c>
      <c r="H10" s="311">
        <v>867</v>
      </c>
      <c r="I10" s="22">
        <v>63</v>
      </c>
      <c r="J10" s="28">
        <f>K10+L10</f>
        <v>1402</v>
      </c>
      <c r="K10" s="3">
        <v>697</v>
      </c>
      <c r="L10" s="311">
        <v>705</v>
      </c>
      <c r="M10" s="21">
        <v>93</v>
      </c>
      <c r="N10" s="28">
        <f>O10+P10</f>
        <v>112</v>
      </c>
      <c r="O10" s="3">
        <v>23</v>
      </c>
      <c r="P10" s="321">
        <v>89</v>
      </c>
    </row>
    <row r="11" spans="1:16" ht="16.5" customHeight="1">
      <c r="A11" s="300" t="s">
        <v>42</v>
      </c>
      <c r="B11" s="28">
        <f>C11+D11</f>
        <v>1453</v>
      </c>
      <c r="C11" s="3">
        <v>711</v>
      </c>
      <c r="D11" s="311">
        <v>742</v>
      </c>
      <c r="E11" s="21">
        <v>34</v>
      </c>
      <c r="F11" s="28">
        <f>G11+H11</f>
        <v>1684</v>
      </c>
      <c r="G11" s="3">
        <v>866</v>
      </c>
      <c r="H11" s="311">
        <v>818</v>
      </c>
      <c r="I11" s="22">
        <v>64</v>
      </c>
      <c r="J11" s="28">
        <f>K11+L11</f>
        <v>1382</v>
      </c>
      <c r="K11" s="3">
        <v>687</v>
      </c>
      <c r="L11" s="311">
        <v>695</v>
      </c>
      <c r="M11" s="21">
        <v>94</v>
      </c>
      <c r="N11" s="28">
        <f>O11+P11</f>
        <v>56</v>
      </c>
      <c r="O11" s="3">
        <v>12</v>
      </c>
      <c r="P11" s="321">
        <v>44</v>
      </c>
    </row>
    <row r="12" spans="1:16" ht="16.5" customHeight="1">
      <c r="A12" s="301" t="s">
        <v>43</v>
      </c>
      <c r="B12" s="25">
        <f>SUM(B7:B11)</f>
        <v>7323</v>
      </c>
      <c r="C12" s="40">
        <f>SUM(C7:C11)</f>
        <v>3704</v>
      </c>
      <c r="D12" s="40">
        <f>SUM(D7:D11)</f>
        <v>3619</v>
      </c>
      <c r="E12" s="24" t="s">
        <v>44</v>
      </c>
      <c r="F12" s="25">
        <f>SUM(F7:F11)</f>
        <v>7958</v>
      </c>
      <c r="G12" s="40">
        <f>SUM(G7:G11)</f>
        <v>3886</v>
      </c>
      <c r="H12" s="547">
        <f>SUM(H7:H11)</f>
        <v>4072</v>
      </c>
      <c r="I12" s="29" t="s">
        <v>45</v>
      </c>
      <c r="J12" s="25">
        <f>SUM(J7:J11)</f>
        <v>7220</v>
      </c>
      <c r="K12" s="40">
        <f>SUM(K7:K11)</f>
        <v>3534</v>
      </c>
      <c r="L12" s="40">
        <f>SUM(L7:L11)</f>
        <v>3686</v>
      </c>
      <c r="M12" s="24" t="s">
        <v>46</v>
      </c>
      <c r="N12" s="25">
        <f>SUM(N7:N11)</f>
        <v>555</v>
      </c>
      <c r="O12" s="40">
        <f>SUM(O7:O11)</f>
        <v>132</v>
      </c>
      <c r="P12" s="376">
        <f>SUM(P7:P11)</f>
        <v>423</v>
      </c>
    </row>
    <row r="13" spans="1:16" ht="16.5" customHeight="1">
      <c r="A13" s="302"/>
      <c r="B13" s="28"/>
      <c r="C13" s="3"/>
      <c r="D13" s="311"/>
      <c r="E13" s="26"/>
      <c r="F13" s="28"/>
      <c r="G13" s="3"/>
      <c r="H13" s="311"/>
      <c r="I13" s="26"/>
      <c r="J13" s="28"/>
      <c r="K13" s="3"/>
      <c r="L13" s="311"/>
      <c r="M13" s="26"/>
      <c r="N13" s="28"/>
      <c r="O13" s="3"/>
      <c r="P13" s="321"/>
    </row>
    <row r="14" spans="1:16" ht="16.5" customHeight="1">
      <c r="A14" s="300" t="s">
        <v>47</v>
      </c>
      <c r="B14" s="28">
        <f>C14+D14</f>
        <v>1408</v>
      </c>
      <c r="C14" s="3">
        <v>710</v>
      </c>
      <c r="D14" s="311">
        <v>698</v>
      </c>
      <c r="E14" s="21">
        <v>35</v>
      </c>
      <c r="F14" s="28">
        <f>G14+H14</f>
        <v>1671</v>
      </c>
      <c r="G14" s="3">
        <v>803</v>
      </c>
      <c r="H14" s="311">
        <v>868</v>
      </c>
      <c r="I14" s="21">
        <v>65</v>
      </c>
      <c r="J14" s="28">
        <f>K14+L14</f>
        <v>1352</v>
      </c>
      <c r="K14" s="3">
        <v>679</v>
      </c>
      <c r="L14" s="311">
        <v>673</v>
      </c>
      <c r="M14" s="21">
        <v>95</v>
      </c>
      <c r="N14" s="28">
        <f>O14+P14</f>
        <v>53</v>
      </c>
      <c r="O14" s="3">
        <v>7</v>
      </c>
      <c r="P14" s="321">
        <v>46</v>
      </c>
    </row>
    <row r="15" spans="1:16" ht="16.5" customHeight="1">
      <c r="A15" s="300" t="s">
        <v>48</v>
      </c>
      <c r="B15" s="28">
        <f>C15+D15</f>
        <v>1485</v>
      </c>
      <c r="C15" s="3">
        <v>774</v>
      </c>
      <c r="D15" s="311">
        <v>711</v>
      </c>
      <c r="E15" s="21">
        <v>36</v>
      </c>
      <c r="F15" s="28">
        <f>G15+H15</f>
        <v>1758</v>
      </c>
      <c r="G15" s="3">
        <v>873</v>
      </c>
      <c r="H15" s="311">
        <v>885</v>
      </c>
      <c r="I15" s="21">
        <v>66</v>
      </c>
      <c r="J15" s="28">
        <f>K15+L15</f>
        <v>636</v>
      </c>
      <c r="K15" s="3">
        <v>307</v>
      </c>
      <c r="L15" s="311">
        <v>329</v>
      </c>
      <c r="M15" s="21">
        <v>96</v>
      </c>
      <c r="N15" s="28">
        <f>O15+P15</f>
        <v>47</v>
      </c>
      <c r="O15" s="3">
        <v>7</v>
      </c>
      <c r="P15" s="321">
        <v>40</v>
      </c>
    </row>
    <row r="16" spans="1:16" ht="16.5" customHeight="1">
      <c r="A16" s="300" t="s">
        <v>49</v>
      </c>
      <c r="B16" s="28">
        <f>C16+D16</f>
        <v>1333</v>
      </c>
      <c r="C16" s="3">
        <v>700</v>
      </c>
      <c r="D16" s="311">
        <v>633</v>
      </c>
      <c r="E16" s="21">
        <v>37</v>
      </c>
      <c r="F16" s="28">
        <f>G16+H16</f>
        <v>1804</v>
      </c>
      <c r="G16" s="3">
        <v>886</v>
      </c>
      <c r="H16" s="311">
        <v>918</v>
      </c>
      <c r="I16" s="21">
        <v>67</v>
      </c>
      <c r="J16" s="28">
        <f>K16+L16</f>
        <v>580</v>
      </c>
      <c r="K16" s="3">
        <v>280</v>
      </c>
      <c r="L16" s="311">
        <v>300</v>
      </c>
      <c r="M16" s="21">
        <v>97</v>
      </c>
      <c r="N16" s="28">
        <f>O16+P16</f>
        <v>31</v>
      </c>
      <c r="O16" s="3">
        <v>6</v>
      </c>
      <c r="P16" s="321">
        <v>25</v>
      </c>
    </row>
    <row r="17" spans="1:16" ht="16.5" customHeight="1">
      <c r="A17" s="300" t="s">
        <v>50</v>
      </c>
      <c r="B17" s="28">
        <f>C17+D17</f>
        <v>1415</v>
      </c>
      <c r="C17" s="3">
        <v>745</v>
      </c>
      <c r="D17" s="311">
        <v>670</v>
      </c>
      <c r="E17" s="21">
        <v>38</v>
      </c>
      <c r="F17" s="28">
        <f>G17+H17</f>
        <v>1991</v>
      </c>
      <c r="G17" s="3">
        <v>991</v>
      </c>
      <c r="H17" s="311">
        <v>1000</v>
      </c>
      <c r="I17" s="21">
        <v>68</v>
      </c>
      <c r="J17" s="28">
        <f>K17+L17</f>
        <v>817</v>
      </c>
      <c r="K17" s="3">
        <v>385</v>
      </c>
      <c r="L17" s="311">
        <v>432</v>
      </c>
      <c r="M17" s="21">
        <v>98</v>
      </c>
      <c r="N17" s="28">
        <f>O17+P17</f>
        <v>28</v>
      </c>
      <c r="O17" s="3">
        <v>8</v>
      </c>
      <c r="P17" s="321">
        <v>20</v>
      </c>
    </row>
    <row r="18" spans="1:16" ht="16.5" customHeight="1">
      <c r="A18" s="300" t="s">
        <v>51</v>
      </c>
      <c r="B18" s="28">
        <f>C18+D18</f>
        <v>1441</v>
      </c>
      <c r="C18" s="3">
        <v>749</v>
      </c>
      <c r="D18" s="311">
        <v>692</v>
      </c>
      <c r="E18" s="21">
        <v>39</v>
      </c>
      <c r="F18" s="28">
        <f>G18+H18</f>
        <v>1947</v>
      </c>
      <c r="G18" s="3">
        <v>939</v>
      </c>
      <c r="H18" s="311">
        <v>1008</v>
      </c>
      <c r="I18" s="21">
        <v>69</v>
      </c>
      <c r="J18" s="28">
        <f>K18+L18</f>
        <v>902</v>
      </c>
      <c r="K18" s="3">
        <v>432</v>
      </c>
      <c r="L18" s="311">
        <v>470</v>
      </c>
      <c r="M18" s="21">
        <v>99</v>
      </c>
      <c r="N18" s="28">
        <f>O18+P18</f>
        <v>15</v>
      </c>
      <c r="O18" s="3">
        <v>2</v>
      </c>
      <c r="P18" s="321">
        <v>13</v>
      </c>
    </row>
    <row r="19" spans="1:16" ht="16.5" customHeight="1">
      <c r="A19" s="301" t="s">
        <v>52</v>
      </c>
      <c r="B19" s="25">
        <f>SUM(B14:B18)</f>
        <v>7082</v>
      </c>
      <c r="C19" s="40">
        <f>SUM(C14:C18)</f>
        <v>3678</v>
      </c>
      <c r="D19" s="40">
        <f>SUM(D14:D18)</f>
        <v>3404</v>
      </c>
      <c r="E19" s="24" t="s">
        <v>53</v>
      </c>
      <c r="F19" s="25">
        <f>SUM(F14:F18)</f>
        <v>9171</v>
      </c>
      <c r="G19" s="40">
        <f>SUM(G14:G18)</f>
        <v>4492</v>
      </c>
      <c r="H19" s="547">
        <f>SUM(H14:H18)</f>
        <v>4679</v>
      </c>
      <c r="I19" s="24" t="s">
        <v>54</v>
      </c>
      <c r="J19" s="25">
        <f>SUM(J14:J18)</f>
        <v>4287</v>
      </c>
      <c r="K19" s="40">
        <f>SUM(K14:K18)</f>
        <v>2083</v>
      </c>
      <c r="L19" s="40">
        <f>SUM(L14:L18)</f>
        <v>2204</v>
      </c>
      <c r="M19" s="24" t="s">
        <v>55</v>
      </c>
      <c r="N19" s="25">
        <f>SUM(N14:N18)</f>
        <v>174</v>
      </c>
      <c r="O19" s="40">
        <f>SUM(O14:O18)</f>
        <v>30</v>
      </c>
      <c r="P19" s="376">
        <f>SUM(P14:P18)</f>
        <v>144</v>
      </c>
    </row>
    <row r="20" spans="1:16" ht="16.5" customHeight="1">
      <c r="A20" s="298"/>
      <c r="B20" s="28"/>
      <c r="C20" s="3"/>
      <c r="D20" s="311"/>
      <c r="E20" s="26"/>
      <c r="F20" s="28"/>
      <c r="G20" s="3"/>
      <c r="H20" s="311"/>
      <c r="I20" s="26"/>
      <c r="J20" s="28"/>
      <c r="K20" s="3"/>
      <c r="L20" s="311"/>
      <c r="M20" s="26"/>
      <c r="N20" s="28"/>
      <c r="O20" s="3"/>
      <c r="P20" s="321"/>
    </row>
    <row r="21" spans="1:16" ht="16.5" customHeight="1">
      <c r="A21" s="297">
        <v>10</v>
      </c>
      <c r="B21" s="28">
        <f>C21+D21</f>
        <v>1417</v>
      </c>
      <c r="C21" s="3">
        <v>732</v>
      </c>
      <c r="D21" s="311">
        <v>685</v>
      </c>
      <c r="E21" s="21">
        <v>40</v>
      </c>
      <c r="F21" s="28">
        <f>G21+H21</f>
        <v>1939</v>
      </c>
      <c r="G21" s="3">
        <v>993</v>
      </c>
      <c r="H21" s="311">
        <v>946</v>
      </c>
      <c r="I21" s="21">
        <v>70</v>
      </c>
      <c r="J21" s="28">
        <f>K21+L21</f>
        <v>881</v>
      </c>
      <c r="K21" s="3">
        <v>419</v>
      </c>
      <c r="L21" s="311">
        <v>462</v>
      </c>
      <c r="M21" s="21">
        <v>100</v>
      </c>
      <c r="N21" s="28">
        <f>O21+P21</f>
        <v>10</v>
      </c>
      <c r="O21" s="3">
        <v>2</v>
      </c>
      <c r="P21" s="321">
        <v>8</v>
      </c>
    </row>
    <row r="22" spans="1:16" ht="16.5" customHeight="1">
      <c r="A22" s="297">
        <v>11</v>
      </c>
      <c r="B22" s="28">
        <f>C22+D22</f>
        <v>1523</v>
      </c>
      <c r="C22" s="3">
        <v>775</v>
      </c>
      <c r="D22" s="311">
        <v>748</v>
      </c>
      <c r="E22" s="21">
        <v>41</v>
      </c>
      <c r="F22" s="28">
        <f>G22+H22</f>
        <v>1853</v>
      </c>
      <c r="G22" s="3">
        <v>900</v>
      </c>
      <c r="H22" s="311">
        <v>953</v>
      </c>
      <c r="I22" s="21">
        <v>71</v>
      </c>
      <c r="J22" s="28">
        <f>K22+L22</f>
        <v>986</v>
      </c>
      <c r="K22" s="3">
        <v>462</v>
      </c>
      <c r="L22" s="311">
        <v>524</v>
      </c>
      <c r="M22" s="21">
        <v>101</v>
      </c>
      <c r="N22" s="28">
        <f>O22+P22</f>
        <v>12</v>
      </c>
      <c r="O22" s="3">
        <v>2</v>
      </c>
      <c r="P22" s="321">
        <v>10</v>
      </c>
    </row>
    <row r="23" spans="1:16" ht="16.5" customHeight="1">
      <c r="A23" s="297">
        <v>12</v>
      </c>
      <c r="B23" s="28">
        <f>C23+D23</f>
        <v>1446</v>
      </c>
      <c r="C23" s="3">
        <v>722</v>
      </c>
      <c r="D23" s="311">
        <v>724</v>
      </c>
      <c r="E23" s="21">
        <v>42</v>
      </c>
      <c r="F23" s="28">
        <f>G23+H23</f>
        <v>1728</v>
      </c>
      <c r="G23" s="3">
        <v>818</v>
      </c>
      <c r="H23" s="311">
        <v>910</v>
      </c>
      <c r="I23" s="21">
        <v>72</v>
      </c>
      <c r="J23" s="28">
        <f>K23+L23</f>
        <v>928</v>
      </c>
      <c r="K23" s="3">
        <v>443</v>
      </c>
      <c r="L23" s="311">
        <v>485</v>
      </c>
      <c r="M23" s="21">
        <v>102</v>
      </c>
      <c r="N23" s="28">
        <f>O23+P23</f>
        <v>8</v>
      </c>
      <c r="O23" s="3">
        <v>1</v>
      </c>
      <c r="P23" s="321">
        <v>7</v>
      </c>
    </row>
    <row r="24" spans="1:16" ht="16.5" customHeight="1">
      <c r="A24" s="297">
        <v>13</v>
      </c>
      <c r="B24" s="28">
        <f>C24+D24</f>
        <v>1436</v>
      </c>
      <c r="C24" s="3">
        <v>744</v>
      </c>
      <c r="D24" s="311">
        <v>692</v>
      </c>
      <c r="E24" s="21">
        <v>43</v>
      </c>
      <c r="F24" s="28">
        <f>G24+H24</f>
        <v>1684</v>
      </c>
      <c r="G24" s="3">
        <v>857</v>
      </c>
      <c r="H24" s="311">
        <v>827</v>
      </c>
      <c r="I24" s="21">
        <v>73</v>
      </c>
      <c r="J24" s="28">
        <f>K24+L24</f>
        <v>874</v>
      </c>
      <c r="K24" s="3">
        <v>417</v>
      </c>
      <c r="L24" s="311">
        <v>457</v>
      </c>
      <c r="M24" s="21">
        <v>103</v>
      </c>
      <c r="N24" s="28">
        <f>O24+P24</f>
        <v>8</v>
      </c>
      <c r="O24" s="3">
        <v>2</v>
      </c>
      <c r="P24" s="321">
        <v>6</v>
      </c>
    </row>
    <row r="25" spans="1:16" ht="16.5" customHeight="1">
      <c r="A25" s="297">
        <v>14</v>
      </c>
      <c r="B25" s="28">
        <f>C25+D25</f>
        <v>1513</v>
      </c>
      <c r="C25" s="3">
        <v>787</v>
      </c>
      <c r="D25" s="311">
        <v>726</v>
      </c>
      <c r="E25" s="21">
        <v>44</v>
      </c>
      <c r="F25" s="28">
        <f>G25+H25</f>
        <v>1779</v>
      </c>
      <c r="G25" s="3">
        <v>869</v>
      </c>
      <c r="H25" s="311">
        <v>910</v>
      </c>
      <c r="I25" s="21">
        <v>74</v>
      </c>
      <c r="J25" s="28">
        <f>K25+L25</f>
        <v>830</v>
      </c>
      <c r="K25" s="3">
        <v>411</v>
      </c>
      <c r="L25" s="311">
        <v>419</v>
      </c>
      <c r="M25" s="21">
        <v>104</v>
      </c>
      <c r="N25" s="28">
        <f>O25+P25</f>
        <v>2</v>
      </c>
      <c r="O25" s="548">
        <v>1</v>
      </c>
      <c r="P25" s="321">
        <v>1</v>
      </c>
    </row>
    <row r="26" spans="1:16" ht="16.5" customHeight="1">
      <c r="A26" s="299" t="s">
        <v>56</v>
      </c>
      <c r="B26" s="25">
        <f>SUM(B21:B25)</f>
        <v>7335</v>
      </c>
      <c r="C26" s="40">
        <f>SUM(C21:C25)</f>
        <v>3760</v>
      </c>
      <c r="D26" s="40">
        <f>SUM(D21:D25)</f>
        <v>3575</v>
      </c>
      <c r="E26" s="24" t="s">
        <v>57</v>
      </c>
      <c r="F26" s="25">
        <f>SUM(F21:F25)</f>
        <v>8983</v>
      </c>
      <c r="G26" s="40">
        <f>SUM(G21:G25)</f>
        <v>4437</v>
      </c>
      <c r="H26" s="547">
        <f>SUM(H21:H25)</f>
        <v>4546</v>
      </c>
      <c r="I26" s="29" t="s">
        <v>58</v>
      </c>
      <c r="J26" s="25">
        <f>SUM(J21:J25)</f>
        <v>4499</v>
      </c>
      <c r="K26" s="40">
        <f>SUM(K21:K25)</f>
        <v>2152</v>
      </c>
      <c r="L26" s="40">
        <f>SUM(L21:L25)</f>
        <v>2347</v>
      </c>
      <c r="M26" s="24" t="s">
        <v>59</v>
      </c>
      <c r="N26" s="25">
        <f>SUM(N21:N25)</f>
        <v>40</v>
      </c>
      <c r="O26" s="40">
        <f>SUM(O21:O25)</f>
        <v>8</v>
      </c>
      <c r="P26" s="376">
        <f>SUM(P21:P25)</f>
        <v>32</v>
      </c>
    </row>
    <row r="27" spans="1:16" ht="16.5" customHeight="1">
      <c r="A27" s="298"/>
      <c r="B27" s="28"/>
      <c r="C27" s="3"/>
      <c r="D27" s="311"/>
      <c r="E27" s="26"/>
      <c r="F27" s="28"/>
      <c r="G27" s="3"/>
      <c r="H27" s="311"/>
      <c r="I27" s="26"/>
      <c r="J27" s="28"/>
      <c r="K27" s="3"/>
      <c r="L27" s="311"/>
      <c r="M27" s="26"/>
      <c r="N27" s="28"/>
      <c r="O27" s="3"/>
      <c r="P27" s="321"/>
    </row>
    <row r="28" spans="1:16" ht="16.5" customHeight="1">
      <c r="A28" s="297">
        <v>15</v>
      </c>
      <c r="B28" s="28">
        <f>C28+D28</f>
        <v>1406</v>
      </c>
      <c r="C28" s="3">
        <v>742</v>
      </c>
      <c r="D28" s="311">
        <v>664</v>
      </c>
      <c r="E28" s="21">
        <v>45</v>
      </c>
      <c r="F28" s="28">
        <f>G28+H28</f>
        <v>1743</v>
      </c>
      <c r="G28" s="3">
        <v>854</v>
      </c>
      <c r="H28" s="311">
        <v>889</v>
      </c>
      <c r="I28" s="21">
        <v>75</v>
      </c>
      <c r="J28" s="28">
        <f>K28+L28</f>
        <v>805</v>
      </c>
      <c r="K28" s="3">
        <v>366</v>
      </c>
      <c r="L28" s="311">
        <v>439</v>
      </c>
      <c r="M28" s="24" t="s">
        <v>60</v>
      </c>
      <c r="N28" s="25">
        <f>SUM(O28:P28)</f>
        <v>5</v>
      </c>
      <c r="O28" s="549">
        <v>1</v>
      </c>
      <c r="P28" s="376">
        <v>4</v>
      </c>
    </row>
    <row r="29" spans="1:16" ht="16.5" customHeight="1">
      <c r="A29" s="297">
        <v>16</v>
      </c>
      <c r="B29" s="28">
        <f>C29+D29</f>
        <v>1414</v>
      </c>
      <c r="C29" s="3">
        <v>745</v>
      </c>
      <c r="D29" s="311">
        <v>669</v>
      </c>
      <c r="E29" s="21">
        <v>46</v>
      </c>
      <c r="F29" s="28">
        <f>G29+H29</f>
        <v>1400</v>
      </c>
      <c r="G29" s="3">
        <v>668</v>
      </c>
      <c r="H29" s="311">
        <v>732</v>
      </c>
      <c r="I29" s="21">
        <v>76</v>
      </c>
      <c r="J29" s="28">
        <f>K29+L29</f>
        <v>799</v>
      </c>
      <c r="K29" s="3">
        <v>353</v>
      </c>
      <c r="L29" s="311">
        <v>446</v>
      </c>
      <c r="M29" s="26"/>
      <c r="N29" s="28"/>
      <c r="O29" s="3"/>
      <c r="P29" s="321"/>
    </row>
    <row r="30" spans="1:16" ht="16.5" customHeight="1">
      <c r="A30" s="297">
        <v>17</v>
      </c>
      <c r="B30" s="28">
        <f>C30+D30</f>
        <v>1417</v>
      </c>
      <c r="C30" s="3">
        <v>721</v>
      </c>
      <c r="D30" s="311">
        <v>696</v>
      </c>
      <c r="E30" s="21">
        <v>47</v>
      </c>
      <c r="F30" s="28">
        <f>G30+H30</f>
        <v>1442</v>
      </c>
      <c r="G30" s="3">
        <v>693</v>
      </c>
      <c r="H30" s="311">
        <v>749</v>
      </c>
      <c r="I30" s="21">
        <v>77</v>
      </c>
      <c r="J30" s="28">
        <f>K30+L30</f>
        <v>733</v>
      </c>
      <c r="K30" s="3">
        <v>319</v>
      </c>
      <c r="L30" s="311">
        <v>414</v>
      </c>
      <c r="M30" s="26"/>
      <c r="N30" s="28"/>
      <c r="O30" s="3"/>
      <c r="P30" s="321"/>
    </row>
    <row r="31" spans="1:16" ht="16.5" customHeight="1">
      <c r="A31" s="297">
        <v>18</v>
      </c>
      <c r="B31" s="28">
        <f>C31+D31</f>
        <v>1387</v>
      </c>
      <c r="C31" s="3">
        <v>697</v>
      </c>
      <c r="D31" s="311">
        <v>690</v>
      </c>
      <c r="E31" s="21">
        <v>48</v>
      </c>
      <c r="F31" s="28">
        <f>G31+H31</f>
        <v>1484</v>
      </c>
      <c r="G31" s="3">
        <v>744</v>
      </c>
      <c r="H31" s="311">
        <v>740</v>
      </c>
      <c r="I31" s="21">
        <v>78</v>
      </c>
      <c r="J31" s="28">
        <f>K31+L31</f>
        <v>712</v>
      </c>
      <c r="K31" s="3">
        <v>306</v>
      </c>
      <c r="L31" s="311">
        <v>406</v>
      </c>
      <c r="M31" s="26" t="s">
        <v>61</v>
      </c>
      <c r="N31" s="28"/>
      <c r="O31" s="3"/>
      <c r="P31" s="321"/>
    </row>
    <row r="32" spans="1:16" ht="16.5" customHeight="1">
      <c r="A32" s="297">
        <v>19</v>
      </c>
      <c r="B32" s="28">
        <f>C32+D32</f>
        <v>1281</v>
      </c>
      <c r="C32" s="3">
        <v>657</v>
      </c>
      <c r="D32" s="311">
        <v>624</v>
      </c>
      <c r="E32" s="21">
        <v>49</v>
      </c>
      <c r="F32" s="28">
        <f>G32+H32</f>
        <v>1530</v>
      </c>
      <c r="G32" s="3">
        <v>734</v>
      </c>
      <c r="H32" s="311">
        <v>796</v>
      </c>
      <c r="I32" s="21">
        <v>79</v>
      </c>
      <c r="J32" s="28">
        <f>K32+L32</f>
        <v>624</v>
      </c>
      <c r="K32" s="3">
        <v>291</v>
      </c>
      <c r="L32" s="311">
        <v>333</v>
      </c>
      <c r="M32" s="26" t="s">
        <v>62</v>
      </c>
      <c r="N32" s="28">
        <f>SUM(O32:P32)</f>
        <v>85100</v>
      </c>
      <c r="O32" s="3">
        <v>41076</v>
      </c>
      <c r="P32" s="321">
        <v>44024</v>
      </c>
    </row>
    <row r="33" spans="1:19" ht="16.5" customHeight="1">
      <c r="A33" s="299" t="s">
        <v>63</v>
      </c>
      <c r="B33" s="25">
        <f>SUM(B28:B32)</f>
        <v>6905</v>
      </c>
      <c r="C33" s="40">
        <f>SUM(C28:C32)</f>
        <v>3562</v>
      </c>
      <c r="D33" s="40">
        <f>SUM(D28:D32)</f>
        <v>3343</v>
      </c>
      <c r="E33" s="24" t="s">
        <v>64</v>
      </c>
      <c r="F33" s="25">
        <f>SUM(F28:F32)</f>
        <v>7599</v>
      </c>
      <c r="G33" s="40">
        <f>SUM(G28:G32)</f>
        <v>3693</v>
      </c>
      <c r="H33" s="547">
        <f>SUM(H28:H32)</f>
        <v>3906</v>
      </c>
      <c r="I33" s="24" t="s">
        <v>65</v>
      </c>
      <c r="J33" s="25">
        <f>SUM(J28:J32)</f>
        <v>3673</v>
      </c>
      <c r="K33" s="40">
        <f>SUM(K28:K32)</f>
        <v>1635</v>
      </c>
      <c r="L33" s="40">
        <f>SUM(L28:L32)</f>
        <v>2038</v>
      </c>
      <c r="M33" s="26" t="s">
        <v>66</v>
      </c>
      <c r="N33" s="28">
        <f>SUM(O33:P33)</f>
        <v>54232</v>
      </c>
      <c r="O33" s="3">
        <v>26949</v>
      </c>
      <c r="P33" s="321">
        <v>27283</v>
      </c>
    </row>
    <row r="34" spans="1:19" ht="16.5" customHeight="1">
      <c r="A34" s="298"/>
      <c r="B34" s="28"/>
      <c r="C34" s="3"/>
      <c r="D34" s="311"/>
      <c r="E34" s="26"/>
      <c r="F34" s="28"/>
      <c r="G34" s="3"/>
      <c r="H34" s="311"/>
      <c r="I34" s="26"/>
      <c r="J34" s="28"/>
      <c r="K34" s="3"/>
      <c r="L34" s="311"/>
      <c r="M34" s="26" t="s">
        <v>67</v>
      </c>
      <c r="N34" s="28">
        <f>SUM(O34:P34)</f>
        <v>23835</v>
      </c>
      <c r="O34" s="3">
        <v>10843</v>
      </c>
      <c r="P34" s="321">
        <v>12992</v>
      </c>
    </row>
    <row r="35" spans="1:19" ht="16.5" customHeight="1">
      <c r="A35" s="297">
        <v>20</v>
      </c>
      <c r="B35" s="28">
        <f>C35+D35</f>
        <v>1277</v>
      </c>
      <c r="C35" s="3">
        <v>667</v>
      </c>
      <c r="D35" s="311">
        <v>610</v>
      </c>
      <c r="E35" s="21">
        <v>50</v>
      </c>
      <c r="F35" s="28">
        <f>G35+H35</f>
        <v>1429</v>
      </c>
      <c r="G35" s="3">
        <v>673</v>
      </c>
      <c r="H35" s="311">
        <v>756</v>
      </c>
      <c r="I35" s="21">
        <v>80</v>
      </c>
      <c r="J35" s="28">
        <f>K35+L35</f>
        <v>585</v>
      </c>
      <c r="K35" s="3">
        <v>253</v>
      </c>
      <c r="L35" s="311">
        <v>332</v>
      </c>
      <c r="M35" s="26" t="s">
        <v>68</v>
      </c>
      <c r="N35" s="28">
        <f>SUM(O35:P35)</f>
        <v>12328</v>
      </c>
      <c r="O35" s="3">
        <v>5226</v>
      </c>
      <c r="P35" s="321">
        <v>7102</v>
      </c>
    </row>
    <row r="36" spans="1:19" ht="16.5" customHeight="1">
      <c r="A36" s="297">
        <v>21</v>
      </c>
      <c r="B36" s="28">
        <f>C36+D36</f>
        <v>1231</v>
      </c>
      <c r="C36" s="3">
        <v>608</v>
      </c>
      <c r="D36" s="311">
        <v>623</v>
      </c>
      <c r="E36" s="21">
        <v>51</v>
      </c>
      <c r="F36" s="28">
        <f>G36+H36</f>
        <v>1473</v>
      </c>
      <c r="G36" s="3">
        <v>711</v>
      </c>
      <c r="H36" s="311">
        <v>762</v>
      </c>
      <c r="I36" s="21">
        <v>81</v>
      </c>
      <c r="J36" s="28">
        <f>K36+L36</f>
        <v>474</v>
      </c>
      <c r="K36" s="3">
        <v>193</v>
      </c>
      <c r="L36" s="311">
        <v>281</v>
      </c>
      <c r="M36" s="26" t="s">
        <v>69</v>
      </c>
      <c r="N36" s="28">
        <f>SUM(O36:P36)</f>
        <v>7829</v>
      </c>
      <c r="O36" s="3">
        <v>3074</v>
      </c>
      <c r="P36" s="321">
        <v>4755</v>
      </c>
      <c r="R36" s="30"/>
      <c r="S36" s="30"/>
    </row>
    <row r="37" spans="1:19" ht="16.5" customHeight="1">
      <c r="A37" s="297">
        <v>22</v>
      </c>
      <c r="B37" s="28">
        <f>C37+D37</f>
        <v>1246</v>
      </c>
      <c r="C37" s="3">
        <v>650</v>
      </c>
      <c r="D37" s="311">
        <v>596</v>
      </c>
      <c r="E37" s="21">
        <v>52</v>
      </c>
      <c r="F37" s="28">
        <f>G37+H37</f>
        <v>1419</v>
      </c>
      <c r="G37" s="3">
        <v>721</v>
      </c>
      <c r="H37" s="311">
        <v>698</v>
      </c>
      <c r="I37" s="21">
        <v>82</v>
      </c>
      <c r="J37" s="28">
        <f>K37+L37</f>
        <v>447</v>
      </c>
      <c r="K37" s="3">
        <v>195</v>
      </c>
      <c r="L37" s="311">
        <v>252</v>
      </c>
      <c r="M37" s="26"/>
      <c r="N37" s="28"/>
      <c r="O37" s="3"/>
      <c r="P37" s="321"/>
    </row>
    <row r="38" spans="1:19" ht="16.5" customHeight="1">
      <c r="A38" s="297">
        <v>23</v>
      </c>
      <c r="B38" s="28">
        <f>C38+D38</f>
        <v>1202</v>
      </c>
      <c r="C38" s="3">
        <v>627</v>
      </c>
      <c r="D38" s="311">
        <v>575</v>
      </c>
      <c r="E38" s="21">
        <v>53</v>
      </c>
      <c r="F38" s="28">
        <f>G38+H38</f>
        <v>1409</v>
      </c>
      <c r="G38" s="3">
        <v>697</v>
      </c>
      <c r="H38" s="311">
        <v>712</v>
      </c>
      <c r="I38" s="21">
        <v>83</v>
      </c>
      <c r="J38" s="28">
        <f>K38+L38</f>
        <v>385</v>
      </c>
      <c r="K38" s="3">
        <v>146</v>
      </c>
      <c r="L38" s="311">
        <v>239</v>
      </c>
      <c r="M38" s="26" t="s">
        <v>70</v>
      </c>
      <c r="N38" s="28">
        <f>SUM(O38:P38)</f>
        <v>21740</v>
      </c>
      <c r="O38" s="3">
        <v>11142</v>
      </c>
      <c r="P38" s="321">
        <v>10598</v>
      </c>
    </row>
    <row r="39" spans="1:19" ht="16.5" customHeight="1">
      <c r="A39" s="297">
        <v>24</v>
      </c>
      <c r="B39" s="28">
        <f>C39+D39</f>
        <v>1247</v>
      </c>
      <c r="C39" s="3">
        <v>614</v>
      </c>
      <c r="D39" s="311">
        <v>633</v>
      </c>
      <c r="E39" s="21">
        <v>54</v>
      </c>
      <c r="F39" s="28">
        <f>G39+H39</f>
        <v>1398</v>
      </c>
      <c r="G39" s="3">
        <v>712</v>
      </c>
      <c r="H39" s="311">
        <v>686</v>
      </c>
      <c r="I39" s="21">
        <v>84</v>
      </c>
      <c r="J39" s="28">
        <f>K39+L39</f>
        <v>354</v>
      </c>
      <c r="K39" s="3">
        <v>130</v>
      </c>
      <c r="L39" s="311">
        <v>224</v>
      </c>
      <c r="M39" s="26" t="s">
        <v>71</v>
      </c>
      <c r="N39" s="28">
        <f>SUM(O39:P39)</f>
        <v>75390</v>
      </c>
      <c r="O39" s="3">
        <v>37329</v>
      </c>
      <c r="P39" s="321">
        <v>38061</v>
      </c>
    </row>
    <row r="40" spans="1:19" ht="16.5" customHeight="1">
      <c r="A40" s="299" t="s">
        <v>72</v>
      </c>
      <c r="B40" s="25">
        <f>SUM(B35:B39)</f>
        <v>6203</v>
      </c>
      <c r="C40" s="40">
        <f>SUM(C35:C39)</f>
        <v>3166</v>
      </c>
      <c r="D40" s="40">
        <f>SUM(D35:D39)</f>
        <v>3037</v>
      </c>
      <c r="E40" s="24" t="s">
        <v>73</v>
      </c>
      <c r="F40" s="25">
        <f>SUM(F35:F39)</f>
        <v>7128</v>
      </c>
      <c r="G40" s="40">
        <f>SUM(G35:G39)</f>
        <v>3514</v>
      </c>
      <c r="H40" s="547">
        <f>SUM(H35:H39)</f>
        <v>3614</v>
      </c>
      <c r="I40" s="24" t="s">
        <v>74</v>
      </c>
      <c r="J40" s="25">
        <f>SUM(J35:J39)</f>
        <v>2245</v>
      </c>
      <c r="K40" s="40">
        <f>SUM(K35:K39)</f>
        <v>917</v>
      </c>
      <c r="L40" s="40">
        <f>SUM(L35:L39)</f>
        <v>1328</v>
      </c>
      <c r="M40" s="26" t="s">
        <v>75</v>
      </c>
      <c r="N40" s="28">
        <f>SUM(O40:P40)</f>
        <v>16615</v>
      </c>
      <c r="O40" s="3">
        <v>7309</v>
      </c>
      <c r="P40" s="321">
        <v>9306</v>
      </c>
    </row>
    <row r="41" spans="1:19" ht="16.5" customHeight="1">
      <c r="A41" s="298"/>
      <c r="B41" s="28"/>
      <c r="C41" s="3"/>
      <c r="D41" s="311"/>
      <c r="E41" s="26"/>
      <c r="F41" s="28"/>
      <c r="G41" s="3"/>
      <c r="H41" s="311"/>
      <c r="I41" s="26"/>
      <c r="J41" s="28"/>
      <c r="K41" s="3"/>
      <c r="L41" s="311"/>
      <c r="M41" s="26"/>
      <c r="N41" s="26"/>
      <c r="O41" s="262"/>
      <c r="P41" s="283"/>
    </row>
    <row r="42" spans="1:19" ht="16.5" customHeight="1">
      <c r="A42" s="297">
        <v>25</v>
      </c>
      <c r="B42" s="28">
        <f>C42+D42</f>
        <v>1288</v>
      </c>
      <c r="C42" s="3">
        <v>661</v>
      </c>
      <c r="D42" s="311">
        <v>627</v>
      </c>
      <c r="E42" s="21">
        <v>55</v>
      </c>
      <c r="F42" s="28">
        <f>G42+H42</f>
        <v>1280</v>
      </c>
      <c r="G42" s="3">
        <v>643</v>
      </c>
      <c r="H42" s="311">
        <v>637</v>
      </c>
      <c r="I42" s="21">
        <v>85</v>
      </c>
      <c r="J42" s="28">
        <f>K42+L42</f>
        <v>315</v>
      </c>
      <c r="K42" s="3">
        <v>109</v>
      </c>
      <c r="L42" s="311">
        <v>206</v>
      </c>
      <c r="M42" s="21" t="s">
        <v>76</v>
      </c>
      <c r="N42" s="26"/>
      <c r="O42" s="262"/>
      <c r="P42" s="283"/>
    </row>
    <row r="43" spans="1:19" ht="16.5" customHeight="1">
      <c r="A43" s="297">
        <v>26</v>
      </c>
      <c r="B43" s="28">
        <f>C43+D43</f>
        <v>1466</v>
      </c>
      <c r="C43" s="3">
        <v>750</v>
      </c>
      <c r="D43" s="311">
        <v>716</v>
      </c>
      <c r="E43" s="21">
        <v>56</v>
      </c>
      <c r="F43" s="28">
        <f>G43+H43</f>
        <v>1326</v>
      </c>
      <c r="G43" s="3">
        <v>661</v>
      </c>
      <c r="H43" s="311">
        <v>665</v>
      </c>
      <c r="I43" s="21">
        <v>86</v>
      </c>
      <c r="J43" s="28">
        <f>K43+L43</f>
        <v>242</v>
      </c>
      <c r="K43" s="3">
        <v>80</v>
      </c>
      <c r="L43" s="311">
        <v>162</v>
      </c>
      <c r="M43" s="26" t="s">
        <v>70</v>
      </c>
      <c r="N43" s="31">
        <f t="shared" ref="N43:P45" si="0">N38/$B$5</f>
        <v>0.19112928040793001</v>
      </c>
      <c r="O43" s="550">
        <f>O38/$B$5</f>
        <v>9.7955954107872875E-2</v>
      </c>
      <c r="P43" s="551">
        <f t="shared" si="0"/>
        <v>9.3173326300057147E-2</v>
      </c>
    </row>
    <row r="44" spans="1:19" ht="16.5" customHeight="1">
      <c r="A44" s="297">
        <v>27</v>
      </c>
      <c r="B44" s="28">
        <f>C44+D44</f>
        <v>1513</v>
      </c>
      <c r="C44" s="3">
        <v>752</v>
      </c>
      <c r="D44" s="311">
        <v>761</v>
      </c>
      <c r="E44" s="21">
        <v>57</v>
      </c>
      <c r="F44" s="28">
        <f>G44+H44</f>
        <v>1379</v>
      </c>
      <c r="G44" s="3">
        <v>676</v>
      </c>
      <c r="H44" s="311">
        <v>703</v>
      </c>
      <c r="I44" s="21">
        <v>87</v>
      </c>
      <c r="J44" s="28">
        <f>K44+L44</f>
        <v>229</v>
      </c>
      <c r="K44" s="3">
        <v>57</v>
      </c>
      <c r="L44" s="311">
        <v>172</v>
      </c>
      <c r="M44" s="26" t="s">
        <v>71</v>
      </c>
      <c r="N44" s="31">
        <f t="shared" si="0"/>
        <v>0.66279836476328635</v>
      </c>
      <c r="O44" s="550">
        <f t="shared" si="0"/>
        <v>0.32818145852564951</v>
      </c>
      <c r="P44" s="551">
        <f t="shared" si="0"/>
        <v>0.33461690623763685</v>
      </c>
    </row>
    <row r="45" spans="1:19" ht="16.5" customHeight="1">
      <c r="A45" s="297">
        <v>28</v>
      </c>
      <c r="B45" s="28">
        <f>C45+D45</f>
        <v>1574</v>
      </c>
      <c r="C45" s="3">
        <v>760</v>
      </c>
      <c r="D45" s="311">
        <v>814</v>
      </c>
      <c r="E45" s="21">
        <v>58</v>
      </c>
      <c r="F45" s="28">
        <f>G45+H45</f>
        <v>1402</v>
      </c>
      <c r="G45" s="3">
        <v>653</v>
      </c>
      <c r="H45" s="311">
        <v>749</v>
      </c>
      <c r="I45" s="21">
        <v>88</v>
      </c>
      <c r="J45" s="28">
        <f>K45+L45</f>
        <v>167</v>
      </c>
      <c r="K45" s="3">
        <v>48</v>
      </c>
      <c r="L45" s="311">
        <v>119</v>
      </c>
      <c r="M45" s="26" t="s">
        <v>75</v>
      </c>
      <c r="N45" s="31">
        <f t="shared" si="0"/>
        <v>0.1460723548287837</v>
      </c>
      <c r="O45" s="550">
        <f t="shared" si="0"/>
        <v>6.4257769572288889E-2</v>
      </c>
      <c r="P45" s="551">
        <f t="shared" si="0"/>
        <v>8.1814585256494793E-2</v>
      </c>
    </row>
    <row r="46" spans="1:19" ht="16.5" customHeight="1">
      <c r="A46" s="297">
        <v>29</v>
      </c>
      <c r="B46" s="28">
        <f>C46+D46</f>
        <v>1572</v>
      </c>
      <c r="C46" s="3">
        <v>790</v>
      </c>
      <c r="D46" s="311">
        <v>782</v>
      </c>
      <c r="E46" s="21">
        <v>59</v>
      </c>
      <c r="F46" s="28">
        <f>G46+H46</f>
        <v>1423</v>
      </c>
      <c r="G46" s="3">
        <v>699</v>
      </c>
      <c r="H46" s="311">
        <v>724</v>
      </c>
      <c r="I46" s="21">
        <v>89</v>
      </c>
      <c r="J46" s="28">
        <f>K46+L46</f>
        <v>184</v>
      </c>
      <c r="K46" s="3">
        <v>57</v>
      </c>
      <c r="L46" s="311">
        <v>127</v>
      </c>
      <c r="M46" s="26"/>
      <c r="N46" s="32"/>
      <c r="O46" s="318"/>
      <c r="P46" s="322"/>
    </row>
    <row r="47" spans="1:19" ht="16.5" customHeight="1">
      <c r="A47" s="299" t="s">
        <v>77</v>
      </c>
      <c r="B47" s="25">
        <f>SUM(B42:B46)</f>
        <v>7413</v>
      </c>
      <c r="C47" s="40">
        <f>SUM(C42:C46)</f>
        <v>3713</v>
      </c>
      <c r="D47" s="40">
        <f>SUM(D42:D46)</f>
        <v>3700</v>
      </c>
      <c r="E47" s="24" t="s">
        <v>78</v>
      </c>
      <c r="F47" s="25">
        <f>SUM(F42:F46)</f>
        <v>6810</v>
      </c>
      <c r="G47" s="40">
        <f>SUM(G42:G46)</f>
        <v>3332</v>
      </c>
      <c r="H47" s="547">
        <f>SUM(H42:H46)</f>
        <v>3478</v>
      </c>
      <c r="I47" s="24" t="s">
        <v>79</v>
      </c>
      <c r="J47" s="25">
        <f>SUM(J42:J46)</f>
        <v>1137</v>
      </c>
      <c r="K47" s="40">
        <f>SUM(K42:K46)</f>
        <v>351</v>
      </c>
      <c r="L47" s="40">
        <f>SUM(L42:L46)</f>
        <v>786</v>
      </c>
      <c r="M47" s="26" t="s">
        <v>80</v>
      </c>
      <c r="N47" s="33">
        <v>38.57</v>
      </c>
      <c r="O47" s="552">
        <v>37.5</v>
      </c>
      <c r="P47" s="553">
        <v>39.61</v>
      </c>
    </row>
    <row r="48" spans="1:19" ht="16.5" customHeight="1" thickBot="1">
      <c r="A48" s="303"/>
      <c r="B48" s="304"/>
      <c r="C48" s="296"/>
      <c r="D48" s="312"/>
      <c r="E48" s="305"/>
      <c r="F48" s="304"/>
      <c r="G48" s="296"/>
      <c r="H48" s="312"/>
      <c r="I48" s="305"/>
      <c r="J48" s="305"/>
      <c r="K48" s="319"/>
      <c r="L48" s="316"/>
      <c r="M48" s="305"/>
      <c r="N48" s="305"/>
      <c r="O48" s="319"/>
      <c r="P48" s="323"/>
    </row>
    <row r="49" spans="1:16" ht="18" customHeight="1">
      <c r="A49" s="16" t="s">
        <v>81</v>
      </c>
      <c r="B49" s="17"/>
      <c r="C49" s="17"/>
      <c r="D49" s="17"/>
      <c r="E49" s="17"/>
      <c r="F49" s="17"/>
      <c r="G49" s="17"/>
      <c r="H49" s="17"/>
      <c r="J49" s="317"/>
      <c r="K49" s="317"/>
      <c r="L49" s="17"/>
      <c r="M49" s="325"/>
      <c r="N49" s="317"/>
      <c r="P49" s="16" t="s">
        <v>82</v>
      </c>
    </row>
    <row r="50" spans="1:16" ht="17.100000000000001" customHeight="1">
      <c r="J50" s="15"/>
      <c r="K50" s="15"/>
      <c r="N50" s="15"/>
    </row>
    <row r="51" spans="1:16" ht="17.100000000000001" customHeight="1">
      <c r="J51" s="15"/>
      <c r="K51" s="15"/>
      <c r="N51" s="15"/>
    </row>
    <row r="52" spans="1:16" ht="17.100000000000001" customHeight="1">
      <c r="J52" s="15"/>
      <c r="K52" s="15"/>
      <c r="N52" s="15"/>
    </row>
    <row r="53" spans="1:16" ht="17.100000000000001" customHeight="1">
      <c r="J53" s="15"/>
      <c r="K53" s="15"/>
      <c r="N53" s="15"/>
    </row>
    <row r="54" spans="1:16" ht="17.100000000000001" customHeight="1">
      <c r="J54" s="15"/>
    </row>
    <row r="55" spans="1:16" ht="17.100000000000001" customHeight="1">
      <c r="J55" s="15"/>
    </row>
    <row r="56" spans="1:16" ht="17.100000000000001" customHeight="1">
      <c r="J56" s="15"/>
    </row>
    <row r="57" spans="1:16" ht="17.100000000000001" customHeight="1">
      <c r="J57" s="15"/>
    </row>
    <row r="58" spans="1:16" ht="17.100000000000001" customHeight="1">
      <c r="J58" s="15"/>
    </row>
    <row r="59" spans="1:16" ht="17.100000000000001" customHeight="1">
      <c r="J59" s="15"/>
    </row>
  </sheetData>
  <sheetProtection selectLockedCells="1" selectUnlockedCells="1"/>
  <phoneticPr fontId="20"/>
  <printOptions horizontalCentered="1"/>
  <pageMargins left="0.59055118110236227" right="0.39370078740157483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&amp;R&amp;"ＭＳ 明朝,標準"&amp;10人　口</oddHeader>
    <oddFooter>&amp;C&amp;"ＭＳ 明朝,標準"&amp;10&amp;A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57"/>
  <sheetViews>
    <sheetView view="pageBreakPreview" topLeftCell="A37" zoomScaleNormal="120" zoomScaleSheetLayoutView="100" workbookViewId="0">
      <selection activeCell="I37" sqref="I37"/>
    </sheetView>
  </sheetViews>
  <sheetFormatPr defaultRowHeight="14.1" customHeight="1"/>
  <cols>
    <col min="1" max="1" width="2.875" style="555" customWidth="1"/>
    <col min="2" max="2" width="14.125" style="555" customWidth="1"/>
    <col min="3" max="3" width="9.125" style="555" customWidth="1"/>
    <col min="4" max="4" width="10.375" style="555" customWidth="1"/>
    <col min="5" max="5" width="9.125" style="555" customWidth="1"/>
    <col min="6" max="6" width="10.125" style="555" customWidth="1"/>
    <col min="7" max="8" width="9.125" style="555" customWidth="1"/>
    <col min="9" max="9" width="7.875" style="555" customWidth="1"/>
    <col min="10" max="10" width="9.875" style="555" customWidth="1"/>
    <col min="11" max="16384" width="9" style="555"/>
  </cols>
  <sheetData>
    <row r="1" spans="1:10" ht="4.5" customHeight="1">
      <c r="A1" s="554"/>
      <c r="B1" s="554"/>
      <c r="C1" s="554"/>
      <c r="D1" s="554"/>
      <c r="E1" s="554"/>
      <c r="F1" s="554"/>
      <c r="G1" s="554"/>
      <c r="H1" s="554"/>
      <c r="I1" s="554"/>
      <c r="J1" s="554"/>
    </row>
    <row r="2" spans="1:10" ht="14.1" customHeight="1" thickBot="1">
      <c r="A2" s="554" t="s">
        <v>83</v>
      </c>
      <c r="B2" s="554"/>
      <c r="C2" s="554"/>
      <c r="D2" s="554"/>
      <c r="E2" s="554"/>
      <c r="F2" s="554"/>
      <c r="G2" s="554"/>
      <c r="H2" s="554"/>
      <c r="I2" s="554"/>
      <c r="J2" s="642" t="s">
        <v>84</v>
      </c>
    </row>
    <row r="3" spans="1:10" ht="14.1" customHeight="1">
      <c r="A3" s="688" t="s">
        <v>85</v>
      </c>
      <c r="B3" s="689"/>
      <c r="C3" s="684" t="s">
        <v>20</v>
      </c>
      <c r="D3" s="684" t="s">
        <v>86</v>
      </c>
      <c r="E3" s="684" t="s">
        <v>20</v>
      </c>
      <c r="F3" s="684" t="s">
        <v>683</v>
      </c>
      <c r="G3" s="684"/>
      <c r="H3" s="684"/>
      <c r="I3" s="281" t="s">
        <v>87</v>
      </c>
      <c r="J3" s="282" t="s">
        <v>88</v>
      </c>
    </row>
    <row r="4" spans="1:10" ht="14.1" customHeight="1">
      <c r="A4" s="690"/>
      <c r="B4" s="691"/>
      <c r="C4" s="685"/>
      <c r="D4" s="685"/>
      <c r="E4" s="685"/>
      <c r="F4" s="685"/>
      <c r="G4" s="685"/>
      <c r="H4" s="685"/>
      <c r="I4" s="279" t="s">
        <v>653</v>
      </c>
      <c r="J4" s="283"/>
    </row>
    <row r="5" spans="1:10" ht="14.1" customHeight="1">
      <c r="A5" s="690"/>
      <c r="B5" s="691"/>
      <c r="C5" s="20" t="s">
        <v>462</v>
      </c>
      <c r="D5" s="20" t="s">
        <v>462</v>
      </c>
      <c r="E5" s="20" t="s">
        <v>664</v>
      </c>
      <c r="F5" s="20" t="s">
        <v>36</v>
      </c>
      <c r="G5" s="20" t="s">
        <v>23</v>
      </c>
      <c r="H5" s="20" t="s">
        <v>24</v>
      </c>
      <c r="I5" s="280" t="s">
        <v>89</v>
      </c>
      <c r="J5" s="556" t="s">
        <v>684</v>
      </c>
    </row>
    <row r="6" spans="1:10" ht="14.1" customHeight="1">
      <c r="A6" s="692" t="s">
        <v>90</v>
      </c>
      <c r="B6" s="693"/>
      <c r="C6" s="557">
        <f>C7+C14+C21+C27+C32+C38+C46+C54</f>
        <v>44675</v>
      </c>
      <c r="D6" s="558">
        <f>D7+D14+D21+D27+D32+D38+D46+D54</f>
        <v>112277</v>
      </c>
      <c r="E6" s="558">
        <f>E7+E14+E21+E27+E32+E38+E46+E54</f>
        <v>45783</v>
      </c>
      <c r="F6" s="558">
        <f t="shared" ref="F6:F13" si="0">SUM(G6:H6)</f>
        <v>113745</v>
      </c>
      <c r="G6" s="558">
        <f>G7+G14+G21+G27+G32+G38+G46+G54</f>
        <v>55780</v>
      </c>
      <c r="H6" s="558">
        <f>H7+H14+H21+H27+H32+H38+H46+H54</f>
        <v>57965</v>
      </c>
      <c r="I6" s="559">
        <f>F6-D6</f>
        <v>1468</v>
      </c>
      <c r="J6" s="560">
        <f>100/$E$6*E6*10</f>
        <v>1000</v>
      </c>
    </row>
    <row r="7" spans="1:10" ht="14.1" customHeight="1">
      <c r="A7" s="694" t="s">
        <v>91</v>
      </c>
      <c r="B7" s="285" t="s">
        <v>92</v>
      </c>
      <c r="C7" s="561">
        <f>SUM(C8:C13)</f>
        <v>3395</v>
      </c>
      <c r="D7" s="561">
        <f>SUM(D8:D13)</f>
        <v>8497</v>
      </c>
      <c r="E7" s="561">
        <f>SUM(E8:E13)</f>
        <v>3423</v>
      </c>
      <c r="F7" s="561">
        <f t="shared" si="0"/>
        <v>8522</v>
      </c>
      <c r="G7" s="561">
        <f>SUM(G8:G13)</f>
        <v>4122</v>
      </c>
      <c r="H7" s="561">
        <f>SUM(H8:H13)</f>
        <v>4400</v>
      </c>
      <c r="I7" s="562">
        <f>F7-D7</f>
        <v>25</v>
      </c>
      <c r="J7" s="563">
        <f>100/$E$6*E7*10</f>
        <v>74.765742742939523</v>
      </c>
    </row>
    <row r="8" spans="1:10" ht="14.1" customHeight="1">
      <c r="A8" s="695"/>
      <c r="B8" s="286" t="s">
        <v>93</v>
      </c>
      <c r="C8" s="564">
        <v>1909</v>
      </c>
      <c r="D8" s="564">
        <v>4672</v>
      </c>
      <c r="E8" s="564">
        <v>1935</v>
      </c>
      <c r="F8" s="564">
        <f t="shared" si="0"/>
        <v>4700</v>
      </c>
      <c r="G8" s="564">
        <v>2302</v>
      </c>
      <c r="H8" s="564">
        <v>2398</v>
      </c>
      <c r="I8" s="565">
        <f t="shared" ref="I8:I36" si="1">F8-D8</f>
        <v>28</v>
      </c>
      <c r="J8" s="566">
        <f>100/$E$6*E8*10</f>
        <v>42.264596029093767</v>
      </c>
    </row>
    <row r="9" spans="1:10" ht="14.1" customHeight="1">
      <c r="A9" s="695"/>
      <c r="B9" s="286" t="s">
        <v>94</v>
      </c>
      <c r="C9" s="564">
        <v>142</v>
      </c>
      <c r="D9" s="564">
        <v>358</v>
      </c>
      <c r="E9" s="564">
        <v>139</v>
      </c>
      <c r="F9" s="564">
        <f t="shared" si="0"/>
        <v>352</v>
      </c>
      <c r="G9" s="564">
        <v>170</v>
      </c>
      <c r="H9" s="564">
        <v>182</v>
      </c>
      <c r="I9" s="565">
        <f t="shared" si="1"/>
        <v>-6</v>
      </c>
      <c r="J9" s="566">
        <f>100/$E$6*E9*10</f>
        <v>3.0360614201777953</v>
      </c>
    </row>
    <row r="10" spans="1:10" ht="14.1" customHeight="1">
      <c r="A10" s="695"/>
      <c r="B10" s="286" t="s">
        <v>95</v>
      </c>
      <c r="C10" s="564">
        <v>377</v>
      </c>
      <c r="D10" s="564">
        <v>850</v>
      </c>
      <c r="E10" s="564">
        <v>386</v>
      </c>
      <c r="F10" s="564">
        <f t="shared" si="0"/>
        <v>860</v>
      </c>
      <c r="G10" s="564">
        <v>409</v>
      </c>
      <c r="H10" s="564">
        <v>451</v>
      </c>
      <c r="I10" s="565">
        <f t="shared" si="1"/>
        <v>10</v>
      </c>
      <c r="J10" s="566">
        <f t="shared" ref="J10:J54" si="2">100/$E$6*E10*10</f>
        <v>8.4310770373282669</v>
      </c>
    </row>
    <row r="11" spans="1:10" ht="14.1" customHeight="1">
      <c r="A11" s="695"/>
      <c r="B11" s="287" t="s">
        <v>96</v>
      </c>
      <c r="C11" s="564">
        <v>559</v>
      </c>
      <c r="D11" s="564">
        <v>1523</v>
      </c>
      <c r="E11" s="564">
        <v>565</v>
      </c>
      <c r="F11" s="564">
        <f t="shared" si="0"/>
        <v>1530</v>
      </c>
      <c r="G11" s="564">
        <v>730</v>
      </c>
      <c r="H11" s="564">
        <v>800</v>
      </c>
      <c r="I11" s="565">
        <f t="shared" si="1"/>
        <v>7</v>
      </c>
      <c r="J11" s="566">
        <f t="shared" si="2"/>
        <v>12.340825197125572</v>
      </c>
    </row>
    <row r="12" spans="1:10" ht="14.1" customHeight="1">
      <c r="A12" s="695"/>
      <c r="B12" s="286" t="s">
        <v>685</v>
      </c>
      <c r="C12" s="564">
        <v>215</v>
      </c>
      <c r="D12" s="564">
        <v>568</v>
      </c>
      <c r="E12" s="564">
        <v>213</v>
      </c>
      <c r="F12" s="564">
        <f t="shared" si="0"/>
        <v>572</v>
      </c>
      <c r="G12" s="564">
        <v>274</v>
      </c>
      <c r="H12" s="564">
        <v>298</v>
      </c>
      <c r="I12" s="565">
        <f t="shared" si="1"/>
        <v>4</v>
      </c>
      <c r="J12" s="566">
        <f t="shared" si="2"/>
        <v>4.6523818884738875</v>
      </c>
    </row>
    <row r="13" spans="1:10" ht="14.1" customHeight="1">
      <c r="A13" s="696"/>
      <c r="B13" s="288" t="s">
        <v>97</v>
      </c>
      <c r="C13" s="564">
        <v>193</v>
      </c>
      <c r="D13" s="564">
        <v>526</v>
      </c>
      <c r="E13" s="564">
        <v>185</v>
      </c>
      <c r="F13" s="564">
        <f t="shared" si="0"/>
        <v>508</v>
      </c>
      <c r="G13" s="564">
        <v>237</v>
      </c>
      <c r="H13" s="564">
        <v>271</v>
      </c>
      <c r="I13" s="565">
        <f>F13-D13</f>
        <v>-18</v>
      </c>
      <c r="J13" s="566">
        <f t="shared" si="2"/>
        <v>4.0408011707402309</v>
      </c>
    </row>
    <row r="14" spans="1:10" ht="14.1" customHeight="1">
      <c r="A14" s="687" t="s">
        <v>532</v>
      </c>
      <c r="B14" s="289" t="s">
        <v>92</v>
      </c>
      <c r="C14" s="561">
        <f t="shared" ref="C14:H14" si="3">SUM(C15:C20)</f>
        <v>7917</v>
      </c>
      <c r="D14" s="561">
        <f t="shared" si="3"/>
        <v>20519</v>
      </c>
      <c r="E14" s="561">
        <f t="shared" si="3"/>
        <v>7996</v>
      </c>
      <c r="F14" s="561">
        <f t="shared" si="3"/>
        <v>20497</v>
      </c>
      <c r="G14" s="561">
        <f t="shared" si="3"/>
        <v>9904</v>
      </c>
      <c r="H14" s="561">
        <f t="shared" si="3"/>
        <v>10593</v>
      </c>
      <c r="I14" s="562">
        <f t="shared" si="1"/>
        <v>-22</v>
      </c>
      <c r="J14" s="563">
        <f t="shared" si="2"/>
        <v>174.64997924993995</v>
      </c>
    </row>
    <row r="15" spans="1:10" ht="14.1" customHeight="1">
      <c r="A15" s="687"/>
      <c r="B15" s="286" t="s">
        <v>98</v>
      </c>
      <c r="C15" s="564">
        <v>2087</v>
      </c>
      <c r="D15" s="564">
        <v>5445</v>
      </c>
      <c r="E15" s="564">
        <v>2118</v>
      </c>
      <c r="F15" s="564">
        <f t="shared" ref="F15:F20" si="4">SUM(G15:H15)</f>
        <v>5458</v>
      </c>
      <c r="G15" s="564">
        <v>2593</v>
      </c>
      <c r="H15" s="564">
        <v>2865</v>
      </c>
      <c r="I15" s="565">
        <f t="shared" si="1"/>
        <v>13</v>
      </c>
      <c r="J15" s="566">
        <f t="shared" si="2"/>
        <v>46.261712862853024</v>
      </c>
    </row>
    <row r="16" spans="1:10" ht="14.1" customHeight="1">
      <c r="A16" s="687"/>
      <c r="B16" s="286" t="s">
        <v>99</v>
      </c>
      <c r="C16" s="564">
        <v>84</v>
      </c>
      <c r="D16" s="564">
        <v>181</v>
      </c>
      <c r="E16" s="564">
        <v>83</v>
      </c>
      <c r="F16" s="564">
        <f t="shared" si="4"/>
        <v>171</v>
      </c>
      <c r="G16" s="564">
        <v>88</v>
      </c>
      <c r="H16" s="564">
        <v>83</v>
      </c>
      <c r="I16" s="565">
        <f t="shared" si="1"/>
        <v>-10</v>
      </c>
      <c r="J16" s="566">
        <f t="shared" si="2"/>
        <v>1.8128999847104821</v>
      </c>
    </row>
    <row r="17" spans="1:10" ht="14.1" customHeight="1">
      <c r="A17" s="687"/>
      <c r="B17" s="286" t="s">
        <v>100</v>
      </c>
      <c r="C17" s="564">
        <v>1458</v>
      </c>
      <c r="D17" s="564">
        <v>3800</v>
      </c>
      <c r="E17" s="564">
        <v>1452</v>
      </c>
      <c r="F17" s="564">
        <f t="shared" si="4"/>
        <v>3761</v>
      </c>
      <c r="G17" s="564">
        <v>1826</v>
      </c>
      <c r="H17" s="564">
        <v>1935</v>
      </c>
      <c r="I17" s="565">
        <f t="shared" si="1"/>
        <v>-39</v>
      </c>
      <c r="J17" s="566">
        <f t="shared" si="2"/>
        <v>31.714828648188195</v>
      </c>
    </row>
    <row r="18" spans="1:10" ht="14.1" customHeight="1">
      <c r="A18" s="687"/>
      <c r="B18" s="286" t="s">
        <v>101</v>
      </c>
      <c r="C18" s="564">
        <v>1490</v>
      </c>
      <c r="D18" s="564">
        <v>3832</v>
      </c>
      <c r="E18" s="564">
        <v>1521</v>
      </c>
      <c r="F18" s="564">
        <f t="shared" si="4"/>
        <v>3877</v>
      </c>
      <c r="G18" s="564">
        <v>1874</v>
      </c>
      <c r="H18" s="564">
        <v>2003</v>
      </c>
      <c r="I18" s="565">
        <f t="shared" si="1"/>
        <v>45</v>
      </c>
      <c r="J18" s="566">
        <f t="shared" si="2"/>
        <v>33.221938274031842</v>
      </c>
    </row>
    <row r="19" spans="1:10" ht="14.1" customHeight="1">
      <c r="A19" s="687"/>
      <c r="B19" s="286" t="s">
        <v>102</v>
      </c>
      <c r="C19" s="564">
        <v>1953</v>
      </c>
      <c r="D19" s="564">
        <v>5192</v>
      </c>
      <c r="E19" s="564">
        <v>1976</v>
      </c>
      <c r="F19" s="564">
        <f t="shared" si="4"/>
        <v>5169</v>
      </c>
      <c r="G19" s="564">
        <v>2508</v>
      </c>
      <c r="H19" s="564">
        <v>2661</v>
      </c>
      <c r="I19" s="565">
        <f t="shared" si="1"/>
        <v>-23</v>
      </c>
      <c r="J19" s="566">
        <f t="shared" si="2"/>
        <v>43.160124937203776</v>
      </c>
    </row>
    <row r="20" spans="1:10" ht="14.1" customHeight="1">
      <c r="A20" s="687"/>
      <c r="B20" s="288" t="s">
        <v>103</v>
      </c>
      <c r="C20" s="564">
        <v>845</v>
      </c>
      <c r="D20" s="564">
        <v>2069</v>
      </c>
      <c r="E20" s="564">
        <v>846</v>
      </c>
      <c r="F20" s="564">
        <f t="shared" si="4"/>
        <v>2061</v>
      </c>
      <c r="G20" s="564">
        <v>1015</v>
      </c>
      <c r="H20" s="564">
        <v>1046</v>
      </c>
      <c r="I20" s="565">
        <f t="shared" si="1"/>
        <v>-8</v>
      </c>
      <c r="J20" s="566">
        <f t="shared" si="2"/>
        <v>18.478474542952625</v>
      </c>
    </row>
    <row r="21" spans="1:10" ht="14.1" customHeight="1">
      <c r="A21" s="687" t="s">
        <v>533</v>
      </c>
      <c r="B21" s="289" t="s">
        <v>92</v>
      </c>
      <c r="C21" s="561">
        <f t="shared" ref="C21:H21" si="5">SUM(C22:C26)</f>
        <v>11043</v>
      </c>
      <c r="D21" s="561">
        <f t="shared" si="5"/>
        <v>26120</v>
      </c>
      <c r="E21" s="561">
        <f t="shared" si="5"/>
        <v>11540</v>
      </c>
      <c r="F21" s="561">
        <f t="shared" si="5"/>
        <v>26775</v>
      </c>
      <c r="G21" s="561">
        <f t="shared" si="5"/>
        <v>13078</v>
      </c>
      <c r="H21" s="561">
        <f t="shared" si="5"/>
        <v>13697</v>
      </c>
      <c r="I21" s="562">
        <f t="shared" si="1"/>
        <v>655</v>
      </c>
      <c r="J21" s="563">
        <f t="shared" si="2"/>
        <v>252.05862438022848</v>
      </c>
    </row>
    <row r="22" spans="1:10" ht="14.1" customHeight="1">
      <c r="A22" s="687"/>
      <c r="B22" s="286" t="s">
        <v>104</v>
      </c>
      <c r="C22" s="564">
        <v>2005</v>
      </c>
      <c r="D22" s="564">
        <v>4713</v>
      </c>
      <c r="E22" s="564">
        <v>2074</v>
      </c>
      <c r="F22" s="564">
        <f>SUM(G22:H22)</f>
        <v>4826</v>
      </c>
      <c r="G22" s="564">
        <v>2335</v>
      </c>
      <c r="H22" s="564">
        <v>2491</v>
      </c>
      <c r="I22" s="565">
        <f t="shared" si="1"/>
        <v>113</v>
      </c>
      <c r="J22" s="566">
        <f t="shared" si="2"/>
        <v>45.300657449271569</v>
      </c>
    </row>
    <row r="23" spans="1:10" ht="14.1" customHeight="1">
      <c r="A23" s="687"/>
      <c r="B23" s="286" t="s">
        <v>105</v>
      </c>
      <c r="C23" s="564">
        <v>2034</v>
      </c>
      <c r="D23" s="564">
        <v>4499</v>
      </c>
      <c r="E23" s="564">
        <v>2098</v>
      </c>
      <c r="F23" s="564">
        <f>SUM(G23:H23)</f>
        <v>4585</v>
      </c>
      <c r="G23" s="564">
        <v>2217</v>
      </c>
      <c r="H23" s="564">
        <v>2368</v>
      </c>
      <c r="I23" s="565">
        <f t="shared" si="1"/>
        <v>86</v>
      </c>
      <c r="J23" s="566">
        <f t="shared" si="2"/>
        <v>45.824869493043266</v>
      </c>
    </row>
    <row r="24" spans="1:10" ht="14.1" customHeight="1">
      <c r="A24" s="687"/>
      <c r="B24" s="286" t="s">
        <v>106</v>
      </c>
      <c r="C24" s="564">
        <v>4068</v>
      </c>
      <c r="D24" s="564">
        <v>9856</v>
      </c>
      <c r="E24" s="564">
        <v>4152</v>
      </c>
      <c r="F24" s="564">
        <f>SUM(G24:H24)</f>
        <v>9964</v>
      </c>
      <c r="G24" s="564">
        <v>4887</v>
      </c>
      <c r="H24" s="564">
        <v>5077</v>
      </c>
      <c r="I24" s="565">
        <f t="shared" si="1"/>
        <v>108</v>
      </c>
      <c r="J24" s="566">
        <f t="shared" si="2"/>
        <v>90.688683572505084</v>
      </c>
    </row>
    <row r="25" spans="1:10" ht="14.1" customHeight="1">
      <c r="A25" s="687"/>
      <c r="B25" s="286" t="s">
        <v>107</v>
      </c>
      <c r="C25" s="564">
        <v>1160</v>
      </c>
      <c r="D25" s="564">
        <v>2609</v>
      </c>
      <c r="E25" s="564">
        <v>1433</v>
      </c>
      <c r="F25" s="564">
        <f>SUM(G25:H25)</f>
        <v>2974</v>
      </c>
      <c r="G25" s="564">
        <v>1521</v>
      </c>
      <c r="H25" s="564">
        <v>1453</v>
      </c>
      <c r="I25" s="565">
        <f t="shared" si="1"/>
        <v>365</v>
      </c>
      <c r="J25" s="566">
        <f t="shared" si="2"/>
        <v>31.299827446868925</v>
      </c>
    </row>
    <row r="26" spans="1:10" ht="14.1" customHeight="1">
      <c r="A26" s="687"/>
      <c r="B26" s="288" t="s">
        <v>108</v>
      </c>
      <c r="C26" s="564">
        <v>1776</v>
      </c>
      <c r="D26" s="564">
        <v>4443</v>
      </c>
      <c r="E26" s="564">
        <v>1783</v>
      </c>
      <c r="F26" s="564">
        <f>SUM(G26:H26)</f>
        <v>4426</v>
      </c>
      <c r="G26" s="564">
        <v>2118</v>
      </c>
      <c r="H26" s="564">
        <v>2308</v>
      </c>
      <c r="I26" s="565">
        <f t="shared" si="1"/>
        <v>-17</v>
      </c>
      <c r="J26" s="566">
        <f t="shared" si="2"/>
        <v>38.944586418539636</v>
      </c>
    </row>
    <row r="27" spans="1:10" ht="14.1" customHeight="1">
      <c r="A27" s="687" t="s">
        <v>109</v>
      </c>
      <c r="B27" s="289" t="s">
        <v>92</v>
      </c>
      <c r="C27" s="561">
        <f t="shared" ref="C27:H27" si="6">SUM(C28:C31)</f>
        <v>8074</v>
      </c>
      <c r="D27" s="561">
        <f t="shared" si="6"/>
        <v>19922</v>
      </c>
      <c r="E27" s="561">
        <f t="shared" si="6"/>
        <v>8136</v>
      </c>
      <c r="F27" s="561">
        <f t="shared" si="6"/>
        <v>19949</v>
      </c>
      <c r="G27" s="561">
        <f t="shared" si="6"/>
        <v>9760</v>
      </c>
      <c r="H27" s="561">
        <f t="shared" si="6"/>
        <v>10189</v>
      </c>
      <c r="I27" s="562">
        <f t="shared" si="1"/>
        <v>27</v>
      </c>
      <c r="J27" s="563">
        <f t="shared" si="2"/>
        <v>177.70788283860824</v>
      </c>
    </row>
    <row r="28" spans="1:10" ht="14.1" customHeight="1">
      <c r="A28" s="687"/>
      <c r="B28" s="286" t="s">
        <v>110</v>
      </c>
      <c r="C28" s="564">
        <v>467</v>
      </c>
      <c r="D28" s="564">
        <v>1166</v>
      </c>
      <c r="E28" s="564">
        <v>459</v>
      </c>
      <c r="F28" s="564">
        <f>SUM(G28:H28)</f>
        <v>1141</v>
      </c>
      <c r="G28" s="564">
        <v>550</v>
      </c>
      <c r="H28" s="564">
        <v>591</v>
      </c>
      <c r="I28" s="565">
        <f t="shared" si="1"/>
        <v>-25</v>
      </c>
      <c r="J28" s="566">
        <f t="shared" si="2"/>
        <v>10.025555337133872</v>
      </c>
    </row>
    <row r="29" spans="1:10" ht="14.1" customHeight="1">
      <c r="A29" s="687"/>
      <c r="B29" s="286" t="s">
        <v>111</v>
      </c>
      <c r="C29" s="564">
        <v>1939</v>
      </c>
      <c r="D29" s="564">
        <v>4566</v>
      </c>
      <c r="E29" s="564">
        <v>1966</v>
      </c>
      <c r="F29" s="564">
        <f>SUM(G29:H29)</f>
        <v>4556</v>
      </c>
      <c r="G29" s="564">
        <v>2287</v>
      </c>
      <c r="H29" s="564">
        <v>2269</v>
      </c>
      <c r="I29" s="565">
        <f t="shared" si="1"/>
        <v>-10</v>
      </c>
      <c r="J29" s="566">
        <f t="shared" si="2"/>
        <v>42.941703252298886</v>
      </c>
    </row>
    <row r="30" spans="1:10" ht="14.1" customHeight="1">
      <c r="A30" s="687"/>
      <c r="B30" s="286" t="s">
        <v>112</v>
      </c>
      <c r="C30" s="564">
        <v>1742</v>
      </c>
      <c r="D30" s="564">
        <v>4334</v>
      </c>
      <c r="E30" s="564">
        <v>1770</v>
      </c>
      <c r="F30" s="564">
        <f>SUM(G30:H30)</f>
        <v>4384</v>
      </c>
      <c r="G30" s="564">
        <v>2157</v>
      </c>
      <c r="H30" s="564">
        <v>2227</v>
      </c>
      <c r="I30" s="565">
        <f t="shared" si="1"/>
        <v>50</v>
      </c>
      <c r="J30" s="566">
        <f t="shared" si="2"/>
        <v>38.660638228163293</v>
      </c>
    </row>
    <row r="31" spans="1:10" ht="14.1" customHeight="1">
      <c r="A31" s="687"/>
      <c r="B31" s="288" t="s">
        <v>113</v>
      </c>
      <c r="C31" s="564">
        <v>3926</v>
      </c>
      <c r="D31" s="564">
        <v>9856</v>
      </c>
      <c r="E31" s="564">
        <v>3941</v>
      </c>
      <c r="F31" s="564">
        <f>SUM(G31:H31)</f>
        <v>9868</v>
      </c>
      <c r="G31" s="564">
        <v>4766</v>
      </c>
      <c r="H31" s="564">
        <v>5102</v>
      </c>
      <c r="I31" s="565">
        <f t="shared" si="1"/>
        <v>12</v>
      </c>
      <c r="J31" s="566">
        <f t="shared" si="2"/>
        <v>86.079986021012175</v>
      </c>
    </row>
    <row r="32" spans="1:10" ht="14.1" customHeight="1">
      <c r="A32" s="687" t="s">
        <v>534</v>
      </c>
      <c r="B32" s="289" t="s">
        <v>92</v>
      </c>
      <c r="C32" s="561">
        <f t="shared" ref="C32:H32" si="7">SUM(C33:C37)</f>
        <v>3118</v>
      </c>
      <c r="D32" s="561">
        <f t="shared" si="7"/>
        <v>7894</v>
      </c>
      <c r="E32" s="561">
        <f t="shared" si="7"/>
        <v>3195</v>
      </c>
      <c r="F32" s="561">
        <f t="shared" si="7"/>
        <v>8013</v>
      </c>
      <c r="G32" s="561">
        <f t="shared" si="7"/>
        <v>3949</v>
      </c>
      <c r="H32" s="561">
        <f t="shared" si="7"/>
        <v>4064</v>
      </c>
      <c r="I32" s="562">
        <f t="shared" si="1"/>
        <v>119</v>
      </c>
      <c r="J32" s="563">
        <f t="shared" si="2"/>
        <v>69.785728327108316</v>
      </c>
    </row>
    <row r="33" spans="1:10" ht="14.1" customHeight="1">
      <c r="A33" s="687"/>
      <c r="B33" s="286" t="s">
        <v>114</v>
      </c>
      <c r="C33" s="564">
        <v>1121</v>
      </c>
      <c r="D33" s="564">
        <v>2886</v>
      </c>
      <c r="E33" s="564">
        <v>1153</v>
      </c>
      <c r="F33" s="564">
        <f>SUM(G33:H33)</f>
        <v>2923</v>
      </c>
      <c r="G33" s="564">
        <v>1440</v>
      </c>
      <c r="H33" s="564">
        <v>1483</v>
      </c>
      <c r="I33" s="565">
        <f t="shared" si="1"/>
        <v>37</v>
      </c>
      <c r="J33" s="566">
        <f>100/$E$6*E33*10</f>
        <v>25.184020269532361</v>
      </c>
    </row>
    <row r="34" spans="1:10" ht="14.1" customHeight="1">
      <c r="A34" s="687"/>
      <c r="B34" s="286" t="s">
        <v>115</v>
      </c>
      <c r="C34" s="564">
        <v>361</v>
      </c>
      <c r="D34" s="564">
        <v>970</v>
      </c>
      <c r="E34" s="564">
        <v>378</v>
      </c>
      <c r="F34" s="564">
        <f>SUM(G34:H34)</f>
        <v>987</v>
      </c>
      <c r="G34" s="564">
        <v>478</v>
      </c>
      <c r="H34" s="564">
        <v>509</v>
      </c>
      <c r="I34" s="565">
        <f t="shared" si="1"/>
        <v>17</v>
      </c>
      <c r="J34" s="566">
        <f t="shared" si="2"/>
        <v>8.2563396894043652</v>
      </c>
    </row>
    <row r="35" spans="1:10" ht="14.1" customHeight="1">
      <c r="A35" s="687"/>
      <c r="B35" s="286" t="s">
        <v>116</v>
      </c>
      <c r="C35" s="564">
        <v>612</v>
      </c>
      <c r="D35" s="564">
        <v>1452</v>
      </c>
      <c r="E35" s="564">
        <v>636</v>
      </c>
      <c r="F35" s="564">
        <f>SUM(G35:H35)</f>
        <v>1525</v>
      </c>
      <c r="G35" s="564">
        <v>757</v>
      </c>
      <c r="H35" s="564">
        <v>768</v>
      </c>
      <c r="I35" s="565">
        <f t="shared" si="1"/>
        <v>73</v>
      </c>
      <c r="J35" s="566">
        <f t="shared" si="2"/>
        <v>13.891619159950201</v>
      </c>
    </row>
    <row r="36" spans="1:10" ht="14.1" customHeight="1">
      <c r="A36" s="687"/>
      <c r="B36" s="286" t="s">
        <v>117</v>
      </c>
      <c r="C36" s="564">
        <v>893</v>
      </c>
      <c r="D36" s="564">
        <v>2232</v>
      </c>
      <c r="E36" s="564">
        <v>898</v>
      </c>
      <c r="F36" s="564">
        <f>SUM(G36:H36)</f>
        <v>2224</v>
      </c>
      <c r="G36" s="564">
        <v>1087</v>
      </c>
      <c r="H36" s="564">
        <v>1137</v>
      </c>
      <c r="I36" s="565">
        <f t="shared" si="1"/>
        <v>-8</v>
      </c>
      <c r="J36" s="566">
        <f t="shared" si="2"/>
        <v>19.614267304457989</v>
      </c>
    </row>
    <row r="37" spans="1:10" ht="14.1" customHeight="1">
      <c r="A37" s="687"/>
      <c r="B37" s="288" t="s">
        <v>118</v>
      </c>
      <c r="C37" s="564">
        <v>131</v>
      </c>
      <c r="D37" s="564">
        <v>354</v>
      </c>
      <c r="E37" s="564">
        <v>130</v>
      </c>
      <c r="F37" s="564">
        <f>SUM(G37:H37)</f>
        <v>354</v>
      </c>
      <c r="G37" s="564">
        <v>187</v>
      </c>
      <c r="H37" s="564">
        <v>167</v>
      </c>
      <c r="I37" s="565">
        <f>F37-D37</f>
        <v>0</v>
      </c>
      <c r="J37" s="566">
        <f t="shared" si="2"/>
        <v>2.8394819037634056</v>
      </c>
    </row>
    <row r="38" spans="1:10" ht="14.1" customHeight="1">
      <c r="A38" s="687" t="s">
        <v>535</v>
      </c>
      <c r="B38" s="289" t="s">
        <v>92</v>
      </c>
      <c r="C38" s="561">
        <f t="shared" ref="C38:H38" si="8">SUM(C39:C45)</f>
        <v>5945</v>
      </c>
      <c r="D38" s="561">
        <f t="shared" si="8"/>
        <v>15680</v>
      </c>
      <c r="E38" s="561">
        <f t="shared" si="8"/>
        <v>6169</v>
      </c>
      <c r="F38" s="561">
        <f t="shared" si="8"/>
        <v>16081</v>
      </c>
      <c r="G38" s="561">
        <f t="shared" si="8"/>
        <v>7954</v>
      </c>
      <c r="H38" s="561">
        <f t="shared" si="8"/>
        <v>8127</v>
      </c>
      <c r="I38" s="562">
        <f t="shared" ref="I38:I54" si="9">F38-D38</f>
        <v>401</v>
      </c>
      <c r="J38" s="563">
        <f t="shared" si="2"/>
        <v>134.74433741781885</v>
      </c>
    </row>
    <row r="39" spans="1:10" ht="14.1" customHeight="1">
      <c r="A39" s="687"/>
      <c r="B39" s="286" t="s">
        <v>119</v>
      </c>
      <c r="C39" s="564">
        <v>1841</v>
      </c>
      <c r="D39" s="564">
        <v>4911</v>
      </c>
      <c r="E39" s="564">
        <v>1933</v>
      </c>
      <c r="F39" s="564">
        <f t="shared" ref="F39:F45" si="10">SUM(G39:H39)</f>
        <v>5009</v>
      </c>
      <c r="G39" s="564">
        <v>2497</v>
      </c>
      <c r="H39" s="564">
        <v>2512</v>
      </c>
      <c r="I39" s="565">
        <f t="shared" si="9"/>
        <v>98</v>
      </c>
      <c r="J39" s="566">
        <f t="shared" si="2"/>
        <v>42.220911692112793</v>
      </c>
    </row>
    <row r="40" spans="1:10" ht="14.1" customHeight="1">
      <c r="A40" s="687"/>
      <c r="B40" s="286" t="s">
        <v>120</v>
      </c>
      <c r="C40" s="564">
        <v>714</v>
      </c>
      <c r="D40" s="564">
        <v>1761</v>
      </c>
      <c r="E40" s="564">
        <v>716</v>
      </c>
      <c r="F40" s="564">
        <f t="shared" si="10"/>
        <v>1752</v>
      </c>
      <c r="G40" s="564">
        <v>847</v>
      </c>
      <c r="H40" s="564">
        <v>905</v>
      </c>
      <c r="I40" s="565">
        <f t="shared" si="9"/>
        <v>-9</v>
      </c>
      <c r="J40" s="566">
        <f t="shared" si="2"/>
        <v>15.638992639189219</v>
      </c>
    </row>
    <row r="41" spans="1:10" ht="14.1" customHeight="1">
      <c r="A41" s="687"/>
      <c r="B41" s="287" t="s">
        <v>121</v>
      </c>
      <c r="C41" s="564">
        <v>291</v>
      </c>
      <c r="D41" s="564">
        <v>778</v>
      </c>
      <c r="E41" s="564">
        <v>285</v>
      </c>
      <c r="F41" s="564">
        <f t="shared" si="10"/>
        <v>740</v>
      </c>
      <c r="G41" s="564">
        <v>396</v>
      </c>
      <c r="H41" s="564">
        <v>344</v>
      </c>
      <c r="I41" s="565">
        <f t="shared" si="9"/>
        <v>-38</v>
      </c>
      <c r="J41" s="566">
        <f t="shared" si="2"/>
        <v>6.2250180197890046</v>
      </c>
    </row>
    <row r="42" spans="1:10" ht="14.1" customHeight="1">
      <c r="A42" s="687"/>
      <c r="B42" s="286" t="s">
        <v>122</v>
      </c>
      <c r="C42" s="564">
        <v>1393</v>
      </c>
      <c r="D42" s="564">
        <v>3582</v>
      </c>
      <c r="E42" s="564">
        <v>1495</v>
      </c>
      <c r="F42" s="564">
        <f t="shared" si="10"/>
        <v>3826</v>
      </c>
      <c r="G42" s="564">
        <v>1879</v>
      </c>
      <c r="H42" s="564">
        <v>1947</v>
      </c>
      <c r="I42" s="565">
        <f t="shared" si="9"/>
        <v>244</v>
      </c>
      <c r="J42" s="566">
        <f t="shared" si="2"/>
        <v>32.654041893279164</v>
      </c>
    </row>
    <row r="43" spans="1:10" ht="14.1" customHeight="1">
      <c r="A43" s="687"/>
      <c r="B43" s="286" t="s">
        <v>123</v>
      </c>
      <c r="C43" s="564">
        <v>1456</v>
      </c>
      <c r="D43" s="564">
        <v>3916</v>
      </c>
      <c r="E43" s="564">
        <v>1498</v>
      </c>
      <c r="F43" s="564">
        <f t="shared" si="10"/>
        <v>4036</v>
      </c>
      <c r="G43" s="564">
        <v>1998</v>
      </c>
      <c r="H43" s="564">
        <v>2038</v>
      </c>
      <c r="I43" s="565">
        <f t="shared" si="9"/>
        <v>120</v>
      </c>
      <c r="J43" s="566">
        <f t="shared" si="2"/>
        <v>32.719568398750631</v>
      </c>
    </row>
    <row r="44" spans="1:10" ht="14.1" customHeight="1">
      <c r="A44" s="687"/>
      <c r="B44" s="290" t="s">
        <v>124</v>
      </c>
      <c r="C44" s="564">
        <v>110</v>
      </c>
      <c r="D44" s="564">
        <v>338</v>
      </c>
      <c r="E44" s="564">
        <v>108</v>
      </c>
      <c r="F44" s="564">
        <f t="shared" si="10"/>
        <v>337</v>
      </c>
      <c r="G44" s="564">
        <v>163</v>
      </c>
      <c r="H44" s="564">
        <v>174</v>
      </c>
      <c r="I44" s="565">
        <f t="shared" si="9"/>
        <v>-1</v>
      </c>
      <c r="J44" s="566">
        <f t="shared" si="2"/>
        <v>2.3589541969726753</v>
      </c>
    </row>
    <row r="45" spans="1:10" ht="14.1" customHeight="1">
      <c r="A45" s="687"/>
      <c r="B45" s="288" t="s">
        <v>125</v>
      </c>
      <c r="C45" s="564">
        <v>140</v>
      </c>
      <c r="D45" s="564">
        <v>394</v>
      </c>
      <c r="E45" s="564">
        <v>134</v>
      </c>
      <c r="F45" s="564">
        <f t="shared" si="10"/>
        <v>381</v>
      </c>
      <c r="G45" s="564">
        <v>174</v>
      </c>
      <c r="H45" s="564">
        <v>207</v>
      </c>
      <c r="I45" s="565">
        <f t="shared" si="9"/>
        <v>-13</v>
      </c>
      <c r="J45" s="566">
        <f t="shared" si="2"/>
        <v>2.9268505777253568</v>
      </c>
    </row>
    <row r="46" spans="1:10" ht="14.1" customHeight="1">
      <c r="A46" s="687" t="s">
        <v>536</v>
      </c>
      <c r="B46" s="289" t="s">
        <v>92</v>
      </c>
      <c r="C46" s="561">
        <f t="shared" ref="C46:H46" si="11">SUM(C47:C53)</f>
        <v>5135</v>
      </c>
      <c r="D46" s="561">
        <f t="shared" si="11"/>
        <v>13535</v>
      </c>
      <c r="E46" s="561">
        <f t="shared" si="11"/>
        <v>5266</v>
      </c>
      <c r="F46" s="561">
        <f t="shared" si="11"/>
        <v>13772</v>
      </c>
      <c r="G46" s="561">
        <f t="shared" si="11"/>
        <v>6971</v>
      </c>
      <c r="H46" s="561">
        <f t="shared" si="11"/>
        <v>6801</v>
      </c>
      <c r="I46" s="562">
        <f t="shared" si="9"/>
        <v>237</v>
      </c>
      <c r="J46" s="563">
        <f t="shared" si="2"/>
        <v>115.02085927090843</v>
      </c>
    </row>
    <row r="47" spans="1:10" ht="14.1" customHeight="1">
      <c r="A47" s="687"/>
      <c r="B47" s="286" t="s">
        <v>126</v>
      </c>
      <c r="C47" s="564">
        <v>867</v>
      </c>
      <c r="D47" s="564">
        <v>2204</v>
      </c>
      <c r="E47" s="564">
        <v>874</v>
      </c>
      <c r="F47" s="564">
        <f t="shared" ref="F47:F54" si="12">SUM(G47:H47)</f>
        <v>2208</v>
      </c>
      <c r="G47" s="564">
        <v>1118</v>
      </c>
      <c r="H47" s="564">
        <v>1090</v>
      </c>
      <c r="I47" s="565">
        <f t="shared" si="9"/>
        <v>4</v>
      </c>
      <c r="J47" s="566">
        <f t="shared" si="2"/>
        <v>19.090055260686285</v>
      </c>
    </row>
    <row r="48" spans="1:10" ht="14.1" customHeight="1">
      <c r="A48" s="687"/>
      <c r="B48" s="286" t="s">
        <v>127</v>
      </c>
      <c r="C48" s="564">
        <v>1159</v>
      </c>
      <c r="D48" s="564">
        <v>2910</v>
      </c>
      <c r="E48" s="564">
        <v>1180</v>
      </c>
      <c r="F48" s="564">
        <f t="shared" si="12"/>
        <v>2926</v>
      </c>
      <c r="G48" s="564">
        <v>1502</v>
      </c>
      <c r="H48" s="564">
        <v>1424</v>
      </c>
      <c r="I48" s="565">
        <f t="shared" si="9"/>
        <v>16</v>
      </c>
      <c r="J48" s="566">
        <f t="shared" si="2"/>
        <v>25.773758818775526</v>
      </c>
    </row>
    <row r="49" spans="1:10" ht="14.1" customHeight="1">
      <c r="A49" s="687"/>
      <c r="B49" s="286" t="s">
        <v>128</v>
      </c>
      <c r="C49" s="564">
        <v>637</v>
      </c>
      <c r="D49" s="564">
        <v>1780</v>
      </c>
      <c r="E49" s="564">
        <v>649</v>
      </c>
      <c r="F49" s="564">
        <f t="shared" si="12"/>
        <v>1823</v>
      </c>
      <c r="G49" s="564">
        <v>899</v>
      </c>
      <c r="H49" s="564">
        <v>924</v>
      </c>
      <c r="I49" s="565">
        <f t="shared" si="9"/>
        <v>43</v>
      </c>
      <c r="J49" s="566">
        <f t="shared" si="2"/>
        <v>14.175567350326542</v>
      </c>
    </row>
    <row r="50" spans="1:10" ht="14.1" customHeight="1">
      <c r="A50" s="687"/>
      <c r="B50" s="286" t="s">
        <v>129</v>
      </c>
      <c r="C50" s="564">
        <v>376</v>
      </c>
      <c r="D50" s="564">
        <v>831</v>
      </c>
      <c r="E50" s="564">
        <v>378</v>
      </c>
      <c r="F50" s="564">
        <f t="shared" si="12"/>
        <v>823</v>
      </c>
      <c r="G50" s="564">
        <v>424</v>
      </c>
      <c r="H50" s="564">
        <v>399</v>
      </c>
      <c r="I50" s="565">
        <f t="shared" si="9"/>
        <v>-8</v>
      </c>
      <c r="J50" s="566">
        <f t="shared" si="2"/>
        <v>8.2563396894043652</v>
      </c>
    </row>
    <row r="51" spans="1:10" ht="14.1" customHeight="1">
      <c r="A51" s="687"/>
      <c r="B51" s="286" t="s">
        <v>130</v>
      </c>
      <c r="C51" s="564">
        <v>917</v>
      </c>
      <c r="D51" s="564">
        <v>2638</v>
      </c>
      <c r="E51" s="564">
        <v>961</v>
      </c>
      <c r="F51" s="564">
        <f t="shared" si="12"/>
        <v>2768</v>
      </c>
      <c r="G51" s="564">
        <v>1418</v>
      </c>
      <c r="H51" s="564">
        <v>1350</v>
      </c>
      <c r="I51" s="565">
        <f t="shared" si="9"/>
        <v>130</v>
      </c>
      <c r="J51" s="566">
        <f t="shared" si="2"/>
        <v>20.990323919358715</v>
      </c>
    </row>
    <row r="52" spans="1:10" ht="14.1" customHeight="1">
      <c r="A52" s="687"/>
      <c r="B52" s="286" t="s">
        <v>131</v>
      </c>
      <c r="C52" s="564">
        <v>612</v>
      </c>
      <c r="D52" s="564">
        <v>1760</v>
      </c>
      <c r="E52" s="564">
        <v>650</v>
      </c>
      <c r="F52" s="564">
        <f t="shared" si="12"/>
        <v>1817</v>
      </c>
      <c r="G52" s="564">
        <v>916</v>
      </c>
      <c r="H52" s="564">
        <v>901</v>
      </c>
      <c r="I52" s="565">
        <f t="shared" si="9"/>
        <v>57</v>
      </c>
      <c r="J52" s="566">
        <f t="shared" si="2"/>
        <v>14.197409518817029</v>
      </c>
    </row>
    <row r="53" spans="1:10" ht="14.1" customHeight="1">
      <c r="A53" s="687"/>
      <c r="B53" s="288" t="s">
        <v>132</v>
      </c>
      <c r="C53" s="564">
        <v>567</v>
      </c>
      <c r="D53" s="564">
        <v>1412</v>
      </c>
      <c r="E53" s="564">
        <v>574</v>
      </c>
      <c r="F53" s="564">
        <f t="shared" si="12"/>
        <v>1407</v>
      </c>
      <c r="G53" s="564">
        <v>694</v>
      </c>
      <c r="H53" s="564">
        <v>713</v>
      </c>
      <c r="I53" s="565">
        <f t="shared" si="9"/>
        <v>-5</v>
      </c>
      <c r="J53" s="566">
        <f t="shared" si="2"/>
        <v>12.537404713539962</v>
      </c>
    </row>
    <row r="54" spans="1:10" ht="14.1" customHeight="1" thickBot="1">
      <c r="A54" s="284" t="s">
        <v>133</v>
      </c>
      <c r="B54" s="291" t="s">
        <v>134</v>
      </c>
      <c r="C54" s="567">
        <v>48</v>
      </c>
      <c r="D54" s="567">
        <v>110</v>
      </c>
      <c r="E54" s="567">
        <v>58</v>
      </c>
      <c r="F54" s="567">
        <f t="shared" si="12"/>
        <v>136</v>
      </c>
      <c r="G54" s="567">
        <v>42</v>
      </c>
      <c r="H54" s="567">
        <v>94</v>
      </c>
      <c r="I54" s="568">
        <f t="shared" si="9"/>
        <v>26</v>
      </c>
      <c r="J54" s="569">
        <f t="shared" si="2"/>
        <v>1.2668457724482887</v>
      </c>
    </row>
    <row r="55" spans="1:10" ht="14.1" customHeight="1">
      <c r="A55" s="554" t="s">
        <v>135</v>
      </c>
      <c r="B55" s="554"/>
      <c r="C55" s="554"/>
      <c r="D55" s="554"/>
      <c r="E55" s="554"/>
      <c r="F55" s="554"/>
      <c r="G55" s="554"/>
      <c r="H55" s="554"/>
      <c r="I55" s="686" t="s">
        <v>29</v>
      </c>
      <c r="J55" s="686"/>
    </row>
    <row r="56" spans="1:10" ht="14.1" customHeight="1">
      <c r="A56" s="554" t="s">
        <v>136</v>
      </c>
      <c r="B56" s="554"/>
      <c r="C56" s="554"/>
      <c r="D56" s="554"/>
      <c r="E56" s="554"/>
      <c r="F56" s="554"/>
      <c r="G56" s="554"/>
      <c r="H56" s="554"/>
      <c r="I56" s="554"/>
      <c r="J56" s="554"/>
    </row>
    <row r="57" spans="1:10" ht="14.1" customHeight="1">
      <c r="A57" s="554" t="s">
        <v>137</v>
      </c>
      <c r="B57" s="554"/>
      <c r="C57" s="554"/>
      <c r="D57" s="554"/>
      <c r="E57" s="554"/>
      <c r="F57" s="554"/>
      <c r="G57" s="554"/>
      <c r="H57" s="554"/>
      <c r="I57" s="554"/>
      <c r="J57" s="554"/>
    </row>
  </sheetData>
  <sheetProtection selectLockedCells="1" selectUnlockedCells="1"/>
  <mergeCells count="14">
    <mergeCell ref="D3:D4"/>
    <mergeCell ref="E3:E4"/>
    <mergeCell ref="I55:J55"/>
    <mergeCell ref="F3:H4"/>
    <mergeCell ref="A46:A53"/>
    <mergeCell ref="A14:A20"/>
    <mergeCell ref="A3:B5"/>
    <mergeCell ref="C3:C4"/>
    <mergeCell ref="A6:B6"/>
    <mergeCell ref="A7:A13"/>
    <mergeCell ref="A21:A26"/>
    <mergeCell ref="A27:A31"/>
    <mergeCell ref="A32:A37"/>
    <mergeCell ref="A38:A45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&amp;L&amp;"ＭＳ 明朝,標準"&amp;10人　口</oddHeader>
    <oddFooter>&amp;C&amp;"ＭＳ 明朝,標準"&amp;10&amp;A</oddFooter>
  </headerFooter>
  <ignoredErrors>
    <ignoredError sqref="F6:F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view="pageBreakPreview" zoomScaleNormal="120" zoomScaleSheetLayoutView="100" workbookViewId="0">
      <pane ySplit="5" topLeftCell="A6" activePane="bottomLeft" state="frozen"/>
      <selection activeCell="E5" sqref="E5"/>
      <selection pane="bottomLeft" activeCell="B26" sqref="B26"/>
    </sheetView>
  </sheetViews>
  <sheetFormatPr defaultRowHeight="23.1" customHeight="1"/>
  <cols>
    <col min="1" max="1" width="12.125" style="160" customWidth="1"/>
    <col min="2" max="4" width="11.375" style="160" customWidth="1"/>
    <col min="5" max="5" width="11.375" style="17" customWidth="1"/>
    <col min="6" max="6" width="11.375" style="592" customWidth="1"/>
    <col min="7" max="7" width="11.375" style="593" customWidth="1"/>
    <col min="8" max="8" width="11.375" style="594" customWidth="1"/>
    <col min="9" max="16384" width="9" style="14"/>
  </cols>
  <sheetData>
    <row r="1" spans="1:9" s="17" customFormat="1" ht="5.0999999999999996" customHeight="1">
      <c r="A1" s="16"/>
      <c r="F1" s="570"/>
      <c r="G1" s="697"/>
      <c r="H1" s="697"/>
    </row>
    <row r="2" spans="1:9" s="17" customFormat="1" ht="15" customHeight="1" thickBot="1">
      <c r="A2" s="16" t="s">
        <v>138</v>
      </c>
      <c r="F2" s="570"/>
      <c r="G2" s="697" t="s">
        <v>18</v>
      </c>
      <c r="H2" s="697"/>
    </row>
    <row r="3" spans="1:9" ht="13.5" customHeight="1">
      <c r="A3" s="698" t="s">
        <v>139</v>
      </c>
      <c r="B3" s="700" t="s">
        <v>140</v>
      </c>
      <c r="C3" s="684" t="s">
        <v>20</v>
      </c>
      <c r="D3" s="702" t="s">
        <v>141</v>
      </c>
      <c r="E3" s="702"/>
      <c r="F3" s="704" t="s">
        <v>142</v>
      </c>
      <c r="G3" s="706" t="s">
        <v>143</v>
      </c>
      <c r="H3" s="708" t="s">
        <v>144</v>
      </c>
      <c r="I3" s="262"/>
    </row>
    <row r="4" spans="1:9" ht="13.5" customHeight="1">
      <c r="A4" s="699"/>
      <c r="B4" s="701"/>
      <c r="C4" s="685"/>
      <c r="D4" s="703"/>
      <c r="E4" s="703"/>
      <c r="F4" s="705"/>
      <c r="G4" s="707"/>
      <c r="H4" s="709"/>
      <c r="I4" s="262"/>
    </row>
    <row r="5" spans="1:9" ht="27" customHeight="1">
      <c r="A5" s="699"/>
      <c r="B5" s="701"/>
      <c r="C5" s="19" t="s">
        <v>664</v>
      </c>
      <c r="D5" s="19" t="s">
        <v>462</v>
      </c>
      <c r="E5" s="19" t="s">
        <v>664</v>
      </c>
      <c r="F5" s="705"/>
      <c r="G5" s="707"/>
      <c r="H5" s="571" t="s">
        <v>664</v>
      </c>
      <c r="I5" s="262"/>
    </row>
    <row r="6" spans="1:9" ht="30" customHeight="1">
      <c r="A6" s="572" t="s">
        <v>145</v>
      </c>
      <c r="B6" s="573">
        <f>SUM(B8:B28)</f>
        <v>19.299999999999997</v>
      </c>
      <c r="C6" s="38">
        <f>SUM(C8:C28)</f>
        <v>45783</v>
      </c>
      <c r="D6" s="38">
        <f>SUM(D8:D28)</f>
        <v>112277</v>
      </c>
      <c r="E6" s="574">
        <f>SUM(E8:E28)</f>
        <v>113745</v>
      </c>
      <c r="F6" s="575">
        <f>+E6-D6</f>
        <v>1468</v>
      </c>
      <c r="G6" s="576">
        <f>ROUND(F6/D6,5)*100</f>
        <v>1.3069999999999999</v>
      </c>
      <c r="H6" s="294">
        <f>E6/B6</f>
        <v>5893.5233160621774</v>
      </c>
      <c r="I6" s="577">
        <f>(+E6/D6)-1</f>
        <v>1.3074806060012323E-2</v>
      </c>
    </row>
    <row r="7" spans="1:9" ht="24" customHeight="1">
      <c r="A7" s="578"/>
      <c r="B7" s="39"/>
      <c r="C7" s="3"/>
      <c r="D7" s="40"/>
      <c r="E7" s="40"/>
      <c r="F7" s="41"/>
      <c r="G7" s="372"/>
      <c r="H7" s="294"/>
      <c r="I7" s="262"/>
    </row>
    <row r="8" spans="1:9" ht="24" customHeight="1">
      <c r="A8" s="297" t="s">
        <v>146</v>
      </c>
      <c r="B8" s="278">
        <v>0.98</v>
      </c>
      <c r="C8" s="3">
        <v>1614</v>
      </c>
      <c r="D8" s="3">
        <v>4120</v>
      </c>
      <c r="E8" s="3">
        <v>4182</v>
      </c>
      <c r="F8" s="579">
        <f>+E8-D8</f>
        <v>62</v>
      </c>
      <c r="G8" s="372">
        <f>ROUND(F8/D8,5)*100</f>
        <v>1.5049999999999999</v>
      </c>
      <c r="H8" s="580">
        <f t="shared" ref="H8:H27" si="0">E8/B8</f>
        <v>4267.3469387755104</v>
      </c>
      <c r="I8" s="577">
        <f t="shared" ref="I8:I28" si="1">(+E8/D8)-1</f>
        <v>1.5048543689320404E-2</v>
      </c>
    </row>
    <row r="9" spans="1:9" ht="24" customHeight="1">
      <c r="A9" s="297" t="s">
        <v>147</v>
      </c>
      <c r="B9" s="278">
        <v>0.55000000000000004</v>
      </c>
      <c r="C9" s="3">
        <v>1887</v>
      </c>
      <c r="D9" s="3">
        <v>4541</v>
      </c>
      <c r="E9" s="3">
        <v>4633</v>
      </c>
      <c r="F9" s="579">
        <f t="shared" ref="F9:F17" si="2">+E9-D9</f>
        <v>92</v>
      </c>
      <c r="G9" s="372">
        <f t="shared" ref="G9:G28" si="3">ROUND(F9/D9,5)*100</f>
        <v>2.0259999999999998</v>
      </c>
      <c r="H9" s="580">
        <f t="shared" si="0"/>
        <v>8423.6363636363621</v>
      </c>
      <c r="I9" s="577">
        <f t="shared" si="1"/>
        <v>2.0259854657564302E-2</v>
      </c>
    </row>
    <row r="10" spans="1:9" ht="24" customHeight="1">
      <c r="A10" s="297" t="s">
        <v>148</v>
      </c>
      <c r="B10" s="278">
        <v>0.84</v>
      </c>
      <c r="C10" s="3">
        <v>3373</v>
      </c>
      <c r="D10" s="3">
        <v>8756</v>
      </c>
      <c r="E10" s="3">
        <v>8716</v>
      </c>
      <c r="F10" s="579">
        <f t="shared" si="2"/>
        <v>-40</v>
      </c>
      <c r="G10" s="372">
        <f t="shared" si="3"/>
        <v>-0.45700000000000002</v>
      </c>
      <c r="H10" s="580">
        <f t="shared" si="0"/>
        <v>10376.190476190477</v>
      </c>
      <c r="I10" s="577">
        <f t="shared" si="1"/>
        <v>-4.5682960255825078E-3</v>
      </c>
    </row>
    <row r="11" spans="1:9" ht="24" customHeight="1">
      <c r="A11" s="297" t="s">
        <v>149</v>
      </c>
      <c r="B11" s="278">
        <v>1.8</v>
      </c>
      <c r="C11" s="3">
        <v>3447</v>
      </c>
      <c r="D11" s="3">
        <v>8516</v>
      </c>
      <c r="E11" s="3">
        <v>8560</v>
      </c>
      <c r="F11" s="579">
        <f t="shared" si="2"/>
        <v>44</v>
      </c>
      <c r="G11" s="372">
        <f t="shared" si="3"/>
        <v>0.51700000000000002</v>
      </c>
      <c r="H11" s="580">
        <f t="shared" si="0"/>
        <v>4755.5555555555557</v>
      </c>
      <c r="I11" s="577">
        <f t="shared" si="1"/>
        <v>5.1667449506811458E-3</v>
      </c>
    </row>
    <row r="12" spans="1:9" ht="24" customHeight="1">
      <c r="A12" s="297" t="s">
        <v>150</v>
      </c>
      <c r="B12" s="278">
        <v>1.04</v>
      </c>
      <c r="C12" s="3">
        <v>2780</v>
      </c>
      <c r="D12" s="3">
        <v>7010</v>
      </c>
      <c r="E12" s="3">
        <v>7011</v>
      </c>
      <c r="F12" s="579">
        <f t="shared" si="2"/>
        <v>1</v>
      </c>
      <c r="G12" s="372">
        <f t="shared" si="3"/>
        <v>1.3999999999999999E-2</v>
      </c>
      <c r="H12" s="580">
        <f t="shared" si="0"/>
        <v>6741.3461538461534</v>
      </c>
      <c r="I12" s="577">
        <f t="shared" si="1"/>
        <v>1.426533523538609E-4</v>
      </c>
    </row>
    <row r="13" spans="1:9" ht="24" customHeight="1">
      <c r="A13" s="297" t="s">
        <v>151</v>
      </c>
      <c r="B13" s="278">
        <v>2.11</v>
      </c>
      <c r="C13" s="3">
        <v>3882</v>
      </c>
      <c r="D13" s="3">
        <v>9422</v>
      </c>
      <c r="E13" s="3">
        <v>9532</v>
      </c>
      <c r="F13" s="579">
        <f t="shared" si="2"/>
        <v>110</v>
      </c>
      <c r="G13" s="372">
        <f t="shared" si="3"/>
        <v>1.167</v>
      </c>
      <c r="H13" s="580">
        <f t="shared" si="0"/>
        <v>4517.5355450236966</v>
      </c>
      <c r="I13" s="577">
        <f t="shared" si="1"/>
        <v>1.1674803651029464E-2</v>
      </c>
    </row>
    <row r="14" spans="1:9" ht="24" customHeight="1">
      <c r="A14" s="297" t="s">
        <v>152</v>
      </c>
      <c r="B14" s="278">
        <v>0.88</v>
      </c>
      <c r="C14" s="3">
        <v>2090</v>
      </c>
      <c r="D14" s="3">
        <v>4562</v>
      </c>
      <c r="E14" s="3">
        <v>4618</v>
      </c>
      <c r="F14" s="579">
        <f t="shared" si="2"/>
        <v>56</v>
      </c>
      <c r="G14" s="372">
        <f t="shared" si="3"/>
        <v>1.228</v>
      </c>
      <c r="H14" s="580">
        <f t="shared" si="0"/>
        <v>5247.727272727273</v>
      </c>
      <c r="I14" s="577">
        <f t="shared" si="1"/>
        <v>1.2275317843051248E-2</v>
      </c>
    </row>
    <row r="15" spans="1:9" ht="24" customHeight="1">
      <c r="A15" s="297" t="s">
        <v>153</v>
      </c>
      <c r="B15" s="278">
        <v>1.22</v>
      </c>
      <c r="C15" s="3">
        <v>4911</v>
      </c>
      <c r="D15" s="3">
        <v>11791</v>
      </c>
      <c r="E15" s="3">
        <v>11907</v>
      </c>
      <c r="F15" s="579">
        <f t="shared" si="2"/>
        <v>116</v>
      </c>
      <c r="G15" s="372">
        <f t="shared" si="3"/>
        <v>0.98399999999999999</v>
      </c>
      <c r="H15" s="580">
        <f t="shared" si="0"/>
        <v>9759.8360655737706</v>
      </c>
      <c r="I15" s="577">
        <f t="shared" si="1"/>
        <v>9.8380120430836548E-3</v>
      </c>
    </row>
    <row r="16" spans="1:9" ht="24" customHeight="1">
      <c r="A16" s="297" t="s">
        <v>154</v>
      </c>
      <c r="B16" s="278">
        <v>0.67</v>
      </c>
      <c r="C16" s="3">
        <v>1948</v>
      </c>
      <c r="D16" s="3">
        <v>3850</v>
      </c>
      <c r="E16" s="3">
        <v>4212</v>
      </c>
      <c r="F16" s="579">
        <f t="shared" si="2"/>
        <v>362</v>
      </c>
      <c r="G16" s="372">
        <f t="shared" si="3"/>
        <v>9.4030000000000005</v>
      </c>
      <c r="H16" s="580">
        <f t="shared" si="0"/>
        <v>6286.5671641791041</v>
      </c>
      <c r="I16" s="577">
        <f t="shared" si="1"/>
        <v>9.4025974025974124E-2</v>
      </c>
    </row>
    <row r="17" spans="1:9" ht="24" customHeight="1">
      <c r="A17" s="297" t="s">
        <v>155</v>
      </c>
      <c r="B17" s="278">
        <v>0.33</v>
      </c>
      <c r="C17" s="581">
        <v>6</v>
      </c>
      <c r="D17" s="581">
        <v>0</v>
      </c>
      <c r="E17" s="581">
        <v>7</v>
      </c>
      <c r="F17" s="579">
        <f t="shared" si="2"/>
        <v>7</v>
      </c>
      <c r="G17" s="372" t="s">
        <v>700</v>
      </c>
      <c r="H17" s="644">
        <f>E17/B17</f>
        <v>21.212121212121211</v>
      </c>
      <c r="I17" s="577"/>
    </row>
    <row r="18" spans="1:9" ht="24" customHeight="1">
      <c r="A18" s="297" t="s">
        <v>157</v>
      </c>
      <c r="B18" s="278">
        <v>0.85</v>
      </c>
      <c r="C18" s="3">
        <v>1977</v>
      </c>
      <c r="D18" s="3">
        <v>4628</v>
      </c>
      <c r="E18" s="3">
        <v>4600</v>
      </c>
      <c r="F18" s="579">
        <f t="shared" ref="F18:F25" si="4">+E18-D18</f>
        <v>-28</v>
      </c>
      <c r="G18" s="372">
        <f t="shared" si="3"/>
        <v>-0.60499999999999998</v>
      </c>
      <c r="H18" s="580">
        <f t="shared" si="0"/>
        <v>5411.7647058823532</v>
      </c>
      <c r="I18" s="577">
        <f t="shared" si="1"/>
        <v>-6.0501296456352271E-3</v>
      </c>
    </row>
    <row r="19" spans="1:9" ht="24" customHeight="1">
      <c r="A19" s="297" t="s">
        <v>158</v>
      </c>
      <c r="B19" s="278">
        <v>0.67</v>
      </c>
      <c r="C19" s="3">
        <v>4045</v>
      </c>
      <c r="D19" s="3">
        <v>10056</v>
      </c>
      <c r="E19" s="3">
        <v>10085</v>
      </c>
      <c r="F19" s="579">
        <f t="shared" si="4"/>
        <v>29</v>
      </c>
      <c r="G19" s="372">
        <f t="shared" si="3"/>
        <v>0.28800000000000003</v>
      </c>
      <c r="H19" s="580">
        <f t="shared" si="0"/>
        <v>15052.238805970148</v>
      </c>
      <c r="I19" s="577">
        <f t="shared" si="1"/>
        <v>2.8838504375496843E-3</v>
      </c>
    </row>
    <row r="20" spans="1:9" ht="24" customHeight="1">
      <c r="A20" s="297" t="s">
        <v>159</v>
      </c>
      <c r="B20" s="278">
        <v>0.93</v>
      </c>
      <c r="C20" s="3">
        <v>1715</v>
      </c>
      <c r="D20" s="3">
        <v>4535</v>
      </c>
      <c r="E20" s="3">
        <v>4658</v>
      </c>
      <c r="F20" s="579">
        <f t="shared" si="4"/>
        <v>123</v>
      </c>
      <c r="G20" s="372">
        <f t="shared" si="3"/>
        <v>2.7119999999999997</v>
      </c>
      <c r="H20" s="580">
        <f t="shared" si="0"/>
        <v>5008.6021505376339</v>
      </c>
      <c r="I20" s="577">
        <f t="shared" si="1"/>
        <v>2.7122381477397983E-2</v>
      </c>
    </row>
    <row r="21" spans="1:9" ht="24" customHeight="1">
      <c r="A21" s="297" t="s">
        <v>160</v>
      </c>
      <c r="B21" s="278">
        <v>0.85</v>
      </c>
      <c r="C21" s="3">
        <v>1818</v>
      </c>
      <c r="D21" s="3">
        <v>4459</v>
      </c>
      <c r="E21" s="3">
        <v>4723</v>
      </c>
      <c r="F21" s="579">
        <f t="shared" si="4"/>
        <v>264</v>
      </c>
      <c r="G21" s="372">
        <f t="shared" si="3"/>
        <v>5.9210000000000003</v>
      </c>
      <c r="H21" s="580">
        <f t="shared" si="0"/>
        <v>5556.4705882352946</v>
      </c>
      <c r="I21" s="577">
        <f t="shared" si="1"/>
        <v>5.9206100022426655E-2</v>
      </c>
    </row>
    <row r="22" spans="1:9" ht="24" customHeight="1">
      <c r="A22" s="297" t="s">
        <v>161</v>
      </c>
      <c r="B22" s="278">
        <v>1.52</v>
      </c>
      <c r="C22" s="3">
        <v>2972</v>
      </c>
      <c r="D22" s="3">
        <v>7551</v>
      </c>
      <c r="E22" s="3">
        <v>7574</v>
      </c>
      <c r="F22" s="579">
        <f t="shared" si="4"/>
        <v>23</v>
      </c>
      <c r="G22" s="372">
        <f t="shared" si="3"/>
        <v>0.30499999999999999</v>
      </c>
      <c r="H22" s="580">
        <f t="shared" si="0"/>
        <v>4982.894736842105</v>
      </c>
      <c r="I22" s="577">
        <f t="shared" si="1"/>
        <v>3.0459541782545951E-3</v>
      </c>
    </row>
    <row r="23" spans="1:9" ht="24" customHeight="1">
      <c r="A23" s="297" t="s">
        <v>162</v>
      </c>
      <c r="B23" s="278">
        <v>1.35</v>
      </c>
      <c r="C23" s="3">
        <v>3819</v>
      </c>
      <c r="D23" s="3">
        <v>9780</v>
      </c>
      <c r="E23" s="3">
        <v>9961</v>
      </c>
      <c r="F23" s="579">
        <f t="shared" si="4"/>
        <v>181</v>
      </c>
      <c r="G23" s="372">
        <f t="shared" si="3"/>
        <v>1.851</v>
      </c>
      <c r="H23" s="580">
        <f t="shared" si="0"/>
        <v>7378.5185185185182</v>
      </c>
      <c r="I23" s="577">
        <f t="shared" si="1"/>
        <v>1.8507157464212609E-2</v>
      </c>
    </row>
    <row r="24" spans="1:9" ht="24" customHeight="1">
      <c r="A24" s="297" t="s">
        <v>163</v>
      </c>
      <c r="B24" s="278">
        <v>0.72</v>
      </c>
      <c r="C24" s="3">
        <v>1244</v>
      </c>
      <c r="D24" s="3">
        <v>3216</v>
      </c>
      <c r="E24" s="3">
        <v>3276</v>
      </c>
      <c r="F24" s="579">
        <f t="shared" si="4"/>
        <v>60</v>
      </c>
      <c r="G24" s="372">
        <f t="shared" si="3"/>
        <v>1.8659999999999999</v>
      </c>
      <c r="H24" s="580">
        <f t="shared" si="0"/>
        <v>4550</v>
      </c>
      <c r="I24" s="577">
        <f t="shared" si="1"/>
        <v>1.8656716417910557E-2</v>
      </c>
    </row>
    <row r="25" spans="1:9" ht="24" customHeight="1">
      <c r="A25" s="297" t="s">
        <v>164</v>
      </c>
      <c r="B25" s="278">
        <v>0.68</v>
      </c>
      <c r="C25" s="3">
        <v>2193</v>
      </c>
      <c r="D25" s="3">
        <v>5369</v>
      </c>
      <c r="E25" s="3">
        <v>5349</v>
      </c>
      <c r="F25" s="579">
        <f t="shared" si="4"/>
        <v>-20</v>
      </c>
      <c r="G25" s="372">
        <f t="shared" si="3"/>
        <v>-0.373</v>
      </c>
      <c r="H25" s="580">
        <f t="shared" si="0"/>
        <v>7866.1764705882351</v>
      </c>
      <c r="I25" s="577">
        <f t="shared" si="1"/>
        <v>-3.7250884708511789E-3</v>
      </c>
    </row>
    <row r="26" spans="1:9" ht="24" customHeight="1">
      <c r="A26" s="297" t="s">
        <v>165</v>
      </c>
      <c r="B26" s="583">
        <f>0.95+0.03</f>
        <v>0.98</v>
      </c>
      <c r="C26" s="581">
        <v>0</v>
      </c>
      <c r="D26" s="581">
        <v>0</v>
      </c>
      <c r="E26" s="581">
        <v>0</v>
      </c>
      <c r="F26" s="42" t="s">
        <v>156</v>
      </c>
      <c r="G26" s="42" t="s">
        <v>156</v>
      </c>
      <c r="H26" s="582">
        <f t="shared" si="0"/>
        <v>0</v>
      </c>
      <c r="I26" s="577"/>
    </row>
    <row r="27" spans="1:9" ht="24" customHeight="1">
      <c r="A27" s="584" t="s">
        <v>166</v>
      </c>
      <c r="B27" s="278">
        <v>0.33</v>
      </c>
      <c r="C27" s="3">
        <v>4</v>
      </c>
      <c r="D27" s="3">
        <v>5</v>
      </c>
      <c r="E27" s="3">
        <v>5</v>
      </c>
      <c r="F27" s="579">
        <f>+E27-D27</f>
        <v>0</v>
      </c>
      <c r="G27" s="372">
        <f t="shared" si="3"/>
        <v>0</v>
      </c>
      <c r="H27" s="580">
        <f t="shared" si="0"/>
        <v>15.15151515151515</v>
      </c>
      <c r="I27" s="577">
        <f t="shared" si="1"/>
        <v>0</v>
      </c>
    </row>
    <row r="28" spans="1:9" ht="24" customHeight="1" thickBot="1">
      <c r="A28" s="284" t="s">
        <v>134</v>
      </c>
      <c r="B28" s="295" t="s">
        <v>531</v>
      </c>
      <c r="C28" s="296">
        <v>58</v>
      </c>
      <c r="D28" s="296">
        <v>110</v>
      </c>
      <c r="E28" s="296">
        <v>136</v>
      </c>
      <c r="F28" s="585">
        <f>+E28-D28</f>
        <v>26</v>
      </c>
      <c r="G28" s="586">
        <f t="shared" si="3"/>
        <v>23.635999999999999</v>
      </c>
      <c r="H28" s="587" t="s">
        <v>156</v>
      </c>
      <c r="I28" s="577">
        <f t="shared" si="1"/>
        <v>0.23636363636363633</v>
      </c>
    </row>
    <row r="29" spans="1:9" ht="20.25" customHeight="1">
      <c r="A29" s="16" t="s">
        <v>167</v>
      </c>
      <c r="B29" s="17"/>
      <c r="C29" s="17"/>
      <c r="D29" s="17"/>
      <c r="F29" s="588"/>
      <c r="G29" s="589"/>
      <c r="H29" s="590" t="s">
        <v>29</v>
      </c>
      <c r="I29" s="17"/>
    </row>
    <row r="30" spans="1:9" ht="16.5" customHeight="1">
      <c r="A30" s="16" t="s">
        <v>168</v>
      </c>
      <c r="B30" s="17"/>
      <c r="C30" s="17"/>
      <c r="D30" s="17"/>
      <c r="F30" s="588"/>
      <c r="G30" s="589"/>
      <c r="H30" s="591"/>
      <c r="I30" s="17"/>
    </row>
  </sheetData>
  <sheetProtection selectLockedCells="1" selectUnlockedCells="1"/>
  <mergeCells count="9">
    <mergeCell ref="G1:H1"/>
    <mergeCell ref="G2:H2"/>
    <mergeCell ref="A3:A5"/>
    <mergeCell ref="B3:B5"/>
    <mergeCell ref="C3:C4"/>
    <mergeCell ref="D3:E4"/>
    <mergeCell ref="F3:F5"/>
    <mergeCell ref="G3:G5"/>
    <mergeCell ref="H3:H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&amp;R&amp;"ＭＳ 明朝,標準"&amp;10人　口</oddHeader>
    <oddFooter>&amp;C&amp;"ＭＳ 明朝,標準"&amp;10&amp;A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56"/>
  <sheetViews>
    <sheetView view="pageBreakPreview" topLeftCell="A49" zoomScaleNormal="100" zoomScaleSheetLayoutView="100" workbookViewId="0">
      <selection activeCell="G63" sqref="G63"/>
    </sheetView>
  </sheetViews>
  <sheetFormatPr defaultRowHeight="15" customHeight="1"/>
  <cols>
    <col min="1" max="1" width="2.75" style="43" customWidth="1"/>
    <col min="2" max="3" width="7.25" style="43" customWidth="1"/>
    <col min="4" max="4" width="0.875" style="43" customWidth="1"/>
    <col min="5" max="12" width="9.25" style="43" customWidth="1"/>
    <col min="13" max="16384" width="9" style="43"/>
  </cols>
  <sheetData>
    <row r="1" spans="1:12" ht="5.0999999999999996" customHeight="1">
      <c r="A1" s="16"/>
      <c r="L1" s="18"/>
    </row>
    <row r="2" spans="1:12" ht="15" customHeight="1" thickBot="1">
      <c r="A2" s="16" t="s">
        <v>169</v>
      </c>
      <c r="L2" s="18" t="s">
        <v>31</v>
      </c>
    </row>
    <row r="3" spans="1:12" ht="22.5" customHeight="1">
      <c r="A3" s="734" t="s">
        <v>170</v>
      </c>
      <c r="B3" s="735"/>
      <c r="C3" s="735"/>
      <c r="D3" s="736"/>
      <c r="E3" s="258" t="s">
        <v>522</v>
      </c>
      <c r="F3" s="258" t="s">
        <v>658</v>
      </c>
      <c r="G3" s="258" t="s">
        <v>659</v>
      </c>
      <c r="H3" s="258" t="s">
        <v>660</v>
      </c>
      <c r="I3" s="258" t="s">
        <v>661</v>
      </c>
      <c r="J3" s="258" t="s">
        <v>662</v>
      </c>
      <c r="K3" s="258" t="s">
        <v>663</v>
      </c>
      <c r="L3" s="517" t="s">
        <v>664</v>
      </c>
    </row>
    <row r="4" spans="1:12" ht="18" customHeight="1">
      <c r="A4" s="737" t="s">
        <v>171</v>
      </c>
      <c r="B4" s="738"/>
      <c r="C4" s="738"/>
      <c r="D4" s="739"/>
      <c r="E4" s="620">
        <f t="shared" ref="E4:K4" si="0">SUM(E6:E19)</f>
        <v>509</v>
      </c>
      <c r="F4" s="620">
        <f t="shared" si="0"/>
        <v>526</v>
      </c>
      <c r="G4" s="620">
        <f t="shared" si="0"/>
        <v>575</v>
      </c>
      <c r="H4" s="620">
        <f t="shared" si="0"/>
        <v>565</v>
      </c>
      <c r="I4" s="620">
        <f t="shared" si="0"/>
        <v>568</v>
      </c>
      <c r="J4" s="620">
        <f t="shared" si="0"/>
        <v>556</v>
      </c>
      <c r="K4" s="38">
        <f t="shared" si="0"/>
        <v>599</v>
      </c>
      <c r="L4" s="518">
        <f>SUM(L6:L19)</f>
        <v>684</v>
      </c>
    </row>
    <row r="5" spans="1:12" ht="12" customHeight="1">
      <c r="A5" s="265"/>
      <c r="B5" s="276"/>
      <c r="C5" s="277"/>
      <c r="D5" s="306"/>
      <c r="E5" s="3"/>
      <c r="F5" s="3"/>
      <c r="G5" s="3"/>
      <c r="H5" s="3"/>
      <c r="I5" s="3"/>
      <c r="J5" s="40"/>
      <c r="K5" s="510"/>
      <c r="L5" s="370"/>
    </row>
    <row r="6" spans="1:12" ht="14.25" customHeight="1">
      <c r="A6" s="265"/>
      <c r="B6" s="731" t="s">
        <v>172</v>
      </c>
      <c r="C6" s="731"/>
      <c r="D6" s="307"/>
      <c r="E6" s="3">
        <v>120</v>
      </c>
      <c r="F6" s="3">
        <v>112</v>
      </c>
      <c r="G6" s="3">
        <v>113</v>
      </c>
      <c r="H6" s="3">
        <v>117</v>
      </c>
      <c r="I6" s="3">
        <v>125</v>
      </c>
      <c r="J6" s="3">
        <v>118</v>
      </c>
      <c r="K6" s="511">
        <v>123</v>
      </c>
      <c r="L6" s="621">
        <v>107</v>
      </c>
    </row>
    <row r="7" spans="1:12" ht="14.25" customHeight="1">
      <c r="A7" s="265"/>
      <c r="B7" s="731" t="s">
        <v>173</v>
      </c>
      <c r="C7" s="731"/>
      <c r="D7" s="307"/>
      <c r="E7" s="3">
        <v>106</v>
      </c>
      <c r="F7" s="3">
        <v>110</v>
      </c>
      <c r="G7" s="3">
        <v>108</v>
      </c>
      <c r="H7" s="374">
        <v>110</v>
      </c>
      <c r="I7" s="374">
        <v>99</v>
      </c>
      <c r="J7" s="3">
        <v>88</v>
      </c>
      <c r="K7" s="511">
        <v>81</v>
      </c>
      <c r="L7" s="621">
        <v>74</v>
      </c>
    </row>
    <row r="8" spans="1:12" ht="14.25" customHeight="1">
      <c r="A8" s="265"/>
      <c r="B8" s="731" t="s">
        <v>174</v>
      </c>
      <c r="C8" s="731"/>
      <c r="D8" s="307"/>
      <c r="E8" s="3">
        <v>33</v>
      </c>
      <c r="F8" s="3">
        <v>38</v>
      </c>
      <c r="G8" s="3">
        <v>43</v>
      </c>
      <c r="H8" s="3">
        <v>69</v>
      </c>
      <c r="I8" s="3">
        <v>69</v>
      </c>
      <c r="J8" s="3">
        <v>61</v>
      </c>
      <c r="K8" s="511">
        <v>59</v>
      </c>
      <c r="L8" s="621">
        <v>38</v>
      </c>
    </row>
    <row r="9" spans="1:12" ht="14.25" customHeight="1">
      <c r="A9" s="265"/>
      <c r="B9" s="731" t="s">
        <v>175</v>
      </c>
      <c r="C9" s="731"/>
      <c r="D9" s="307"/>
      <c r="E9" s="3">
        <v>89</v>
      </c>
      <c r="F9" s="3">
        <v>86</v>
      </c>
      <c r="G9" s="3">
        <v>79</v>
      </c>
      <c r="H9" s="3">
        <v>78</v>
      </c>
      <c r="I9" s="3">
        <v>94</v>
      </c>
      <c r="J9" s="3">
        <v>80</v>
      </c>
      <c r="K9" s="511">
        <v>73</v>
      </c>
      <c r="L9" s="621">
        <v>71</v>
      </c>
    </row>
    <row r="10" spans="1:12" s="136" customFormat="1" ht="14.25" customHeight="1">
      <c r="A10" s="171"/>
      <c r="B10" s="740" t="s">
        <v>456</v>
      </c>
      <c r="C10" s="740"/>
      <c r="D10" s="308"/>
      <c r="E10" s="373">
        <v>4</v>
      </c>
      <c r="F10" s="373">
        <v>4</v>
      </c>
      <c r="G10" s="373">
        <v>6</v>
      </c>
      <c r="H10" s="373">
        <v>27</v>
      </c>
      <c r="I10" s="373">
        <v>37</v>
      </c>
      <c r="J10" s="373">
        <v>76</v>
      </c>
      <c r="K10" s="511">
        <v>119</v>
      </c>
      <c r="L10" s="621">
        <v>213</v>
      </c>
    </row>
    <row r="11" spans="1:12" ht="14.25" customHeight="1">
      <c r="A11" s="265"/>
      <c r="B11" s="731" t="s">
        <v>176</v>
      </c>
      <c r="C11" s="731"/>
      <c r="D11" s="307"/>
      <c r="E11" s="3">
        <v>15</v>
      </c>
      <c r="F11" s="3">
        <v>21</v>
      </c>
      <c r="G11" s="3">
        <v>45</v>
      </c>
      <c r="H11" s="3">
        <v>26</v>
      </c>
      <c r="I11" s="3">
        <v>26</v>
      </c>
      <c r="J11" s="3">
        <v>22</v>
      </c>
      <c r="K11" s="511">
        <v>20</v>
      </c>
      <c r="L11" s="621">
        <v>37</v>
      </c>
    </row>
    <row r="12" spans="1:12" ht="14.25" customHeight="1">
      <c r="A12" s="265"/>
      <c r="B12" s="731" t="s">
        <v>177</v>
      </c>
      <c r="C12" s="731"/>
      <c r="D12" s="307"/>
      <c r="E12" s="3">
        <v>10</v>
      </c>
      <c r="F12" s="3">
        <v>16</v>
      </c>
      <c r="G12" s="3">
        <v>10</v>
      </c>
      <c r="H12" s="3">
        <v>12</v>
      </c>
      <c r="I12" s="3">
        <v>9</v>
      </c>
      <c r="J12" s="3">
        <v>9</v>
      </c>
      <c r="K12" s="511">
        <v>6</v>
      </c>
      <c r="L12" s="621">
        <v>5</v>
      </c>
    </row>
    <row r="13" spans="1:12" ht="14.25" customHeight="1">
      <c r="A13" s="265"/>
      <c r="B13" s="731" t="s">
        <v>178</v>
      </c>
      <c r="C13" s="731"/>
      <c r="D13" s="307"/>
      <c r="E13" s="3">
        <v>6</v>
      </c>
      <c r="F13" s="3">
        <v>1</v>
      </c>
      <c r="G13" s="3">
        <v>3</v>
      </c>
      <c r="H13" s="3">
        <v>3</v>
      </c>
      <c r="I13" s="3">
        <v>2</v>
      </c>
      <c r="J13" s="3">
        <v>4</v>
      </c>
      <c r="K13" s="511">
        <v>4</v>
      </c>
      <c r="L13" s="621">
        <v>3</v>
      </c>
    </row>
    <row r="14" spans="1:12" ht="14.25" customHeight="1">
      <c r="A14" s="265"/>
      <c r="B14" s="731" t="s">
        <v>179</v>
      </c>
      <c r="C14" s="731"/>
      <c r="D14" s="307"/>
      <c r="E14" s="3">
        <v>9</v>
      </c>
      <c r="F14" s="3">
        <v>13</v>
      </c>
      <c r="G14" s="3">
        <v>12</v>
      </c>
      <c r="H14" s="3">
        <v>6</v>
      </c>
      <c r="I14" s="3">
        <v>8</v>
      </c>
      <c r="J14" s="3">
        <v>6</v>
      </c>
      <c r="K14" s="511">
        <v>8</v>
      </c>
      <c r="L14" s="621">
        <v>6</v>
      </c>
    </row>
    <row r="15" spans="1:12" ht="14.25" customHeight="1">
      <c r="A15" s="265"/>
      <c r="B15" s="731" t="s">
        <v>180</v>
      </c>
      <c r="C15" s="731"/>
      <c r="D15" s="309"/>
      <c r="E15" s="3">
        <v>11</v>
      </c>
      <c r="F15" s="3">
        <v>7</v>
      </c>
      <c r="G15" s="3">
        <v>10</v>
      </c>
      <c r="H15" s="3">
        <v>5</v>
      </c>
      <c r="I15" s="3">
        <v>3</v>
      </c>
      <c r="J15" s="3">
        <v>3</v>
      </c>
      <c r="K15" s="511">
        <v>5</v>
      </c>
      <c r="L15" s="621">
        <v>5</v>
      </c>
    </row>
    <row r="16" spans="1:12" ht="14.25" customHeight="1">
      <c r="A16" s="265"/>
      <c r="B16" s="731" t="s">
        <v>181</v>
      </c>
      <c r="C16" s="731"/>
      <c r="D16" s="307"/>
      <c r="E16" s="3">
        <v>11</v>
      </c>
      <c r="F16" s="3">
        <v>8</v>
      </c>
      <c r="G16" s="3">
        <v>5</v>
      </c>
      <c r="H16" s="3">
        <v>5</v>
      </c>
      <c r="I16" s="3">
        <v>4</v>
      </c>
      <c r="J16" s="3">
        <v>4</v>
      </c>
      <c r="K16" s="511">
        <v>4</v>
      </c>
      <c r="L16" s="621">
        <v>3</v>
      </c>
    </row>
    <row r="17" spans="1:12" ht="14.25" customHeight="1">
      <c r="A17" s="265"/>
      <c r="B17" s="731" t="s">
        <v>182</v>
      </c>
      <c r="C17" s="731"/>
      <c r="D17" s="307"/>
      <c r="E17" s="3">
        <v>4</v>
      </c>
      <c r="F17" s="3">
        <v>3</v>
      </c>
      <c r="G17" s="3">
        <v>6</v>
      </c>
      <c r="H17" s="3">
        <v>1</v>
      </c>
      <c r="I17" s="3">
        <v>1</v>
      </c>
      <c r="J17" s="3">
        <v>1</v>
      </c>
      <c r="K17" s="511">
        <v>1</v>
      </c>
      <c r="L17" s="621">
        <v>1</v>
      </c>
    </row>
    <row r="18" spans="1:12" ht="14.25" customHeight="1">
      <c r="A18" s="265"/>
      <c r="B18" s="731" t="s">
        <v>183</v>
      </c>
      <c r="C18" s="731"/>
      <c r="D18" s="307"/>
      <c r="E18" s="3">
        <v>3</v>
      </c>
      <c r="F18" s="3">
        <v>2</v>
      </c>
      <c r="G18" s="3">
        <v>2</v>
      </c>
      <c r="H18" s="3">
        <v>2</v>
      </c>
      <c r="I18" s="3">
        <v>4</v>
      </c>
      <c r="J18" s="3">
        <v>4</v>
      </c>
      <c r="K18" s="511">
        <v>3</v>
      </c>
      <c r="L18" s="621">
        <v>3</v>
      </c>
    </row>
    <row r="19" spans="1:12" ht="18" customHeight="1" thickBot="1">
      <c r="A19" s="266"/>
      <c r="B19" s="741" t="s">
        <v>184</v>
      </c>
      <c r="C19" s="741"/>
      <c r="D19" s="310"/>
      <c r="E19" s="275">
        <v>88</v>
      </c>
      <c r="F19" s="275">
        <v>105</v>
      </c>
      <c r="G19" s="275">
        <v>133</v>
      </c>
      <c r="H19" s="275">
        <v>104</v>
      </c>
      <c r="I19" s="275">
        <v>87</v>
      </c>
      <c r="J19" s="275">
        <v>80</v>
      </c>
      <c r="K19" s="512">
        <v>93</v>
      </c>
      <c r="L19" s="622">
        <v>118</v>
      </c>
    </row>
    <row r="20" spans="1:12" ht="18" customHeight="1">
      <c r="B20" s="743" t="s">
        <v>588</v>
      </c>
      <c r="C20" s="743"/>
      <c r="D20" s="743"/>
      <c r="E20" s="743"/>
      <c r="F20" s="743"/>
      <c r="G20" s="743"/>
      <c r="I20" s="16"/>
      <c r="K20" s="262"/>
      <c r="L20" s="263" t="s">
        <v>185</v>
      </c>
    </row>
    <row r="21" spans="1:12" ht="20.25" customHeight="1" thickBot="1">
      <c r="A21" s="742" t="s">
        <v>186</v>
      </c>
      <c r="B21" s="742"/>
      <c r="C21" s="742"/>
      <c r="D21" s="742"/>
      <c r="E21" s="742"/>
      <c r="F21" s="742"/>
      <c r="L21" s="18" t="s">
        <v>187</v>
      </c>
    </row>
    <row r="22" spans="1:12" ht="22.5" customHeight="1">
      <c r="A22" s="698" t="s">
        <v>188</v>
      </c>
      <c r="B22" s="684"/>
      <c r="C22" s="732" t="s">
        <v>189</v>
      </c>
      <c r="D22" s="732"/>
      <c r="E22" s="684" t="s">
        <v>190</v>
      </c>
      <c r="F22" s="684"/>
      <c r="G22" s="684"/>
      <c r="H22" s="684" t="s">
        <v>191</v>
      </c>
      <c r="I22" s="684"/>
      <c r="J22" s="684"/>
      <c r="K22" s="267"/>
      <c r="L22" s="268"/>
    </row>
    <row r="23" spans="1:12" ht="15.75" customHeight="1">
      <c r="A23" s="699"/>
      <c r="B23" s="685"/>
      <c r="C23" s="733"/>
      <c r="D23" s="733"/>
      <c r="E23" s="23" t="s">
        <v>192</v>
      </c>
      <c r="F23" s="36" t="s">
        <v>193</v>
      </c>
      <c r="G23" s="36" t="s">
        <v>194</v>
      </c>
      <c r="H23" s="36" t="s">
        <v>195</v>
      </c>
      <c r="I23" s="36" t="s">
        <v>196</v>
      </c>
      <c r="J23" s="36" t="s">
        <v>197</v>
      </c>
      <c r="K23" s="22" t="s">
        <v>198</v>
      </c>
      <c r="L23" s="194" t="s">
        <v>199</v>
      </c>
    </row>
    <row r="24" spans="1:12" ht="15.75" customHeight="1">
      <c r="A24" s="699"/>
      <c r="B24" s="685"/>
      <c r="C24" s="728" t="s">
        <v>200</v>
      </c>
      <c r="D24" s="728"/>
      <c r="E24" s="44" t="s">
        <v>201</v>
      </c>
      <c r="F24" s="45" t="s">
        <v>202</v>
      </c>
      <c r="G24" s="46" t="s">
        <v>203</v>
      </c>
      <c r="H24" s="47" t="s">
        <v>204</v>
      </c>
      <c r="I24" s="45" t="s">
        <v>205</v>
      </c>
      <c r="J24" s="46" t="s">
        <v>206</v>
      </c>
      <c r="K24" s="35"/>
      <c r="L24" s="269"/>
    </row>
    <row r="25" spans="1:12" ht="14.25" customHeight="1">
      <c r="A25" s="729" t="s">
        <v>687</v>
      </c>
      <c r="B25" s="730"/>
      <c r="C25" s="722">
        <f t="shared" ref="C25:C38" si="1">E25+H25</f>
        <v>1319</v>
      </c>
      <c r="D25" s="722"/>
      <c r="E25" s="48">
        <f t="shared" ref="E25:E39" si="2">F25-G25</f>
        <v>1276</v>
      </c>
      <c r="F25" s="48">
        <v>1626</v>
      </c>
      <c r="G25" s="48">
        <v>350</v>
      </c>
      <c r="H25" s="42">
        <f t="shared" ref="H25:H39" si="3">I25-J25</f>
        <v>43</v>
      </c>
      <c r="I25" s="48">
        <v>7297</v>
      </c>
      <c r="J25" s="48">
        <v>7254</v>
      </c>
      <c r="K25" s="48">
        <v>880</v>
      </c>
      <c r="L25" s="270">
        <v>241</v>
      </c>
    </row>
    <row r="26" spans="1:12" ht="14.25" customHeight="1">
      <c r="A26" s="726" t="s">
        <v>554</v>
      </c>
      <c r="B26" s="727"/>
      <c r="C26" s="722">
        <f t="shared" si="1"/>
        <v>1426</v>
      </c>
      <c r="D26" s="722"/>
      <c r="E26" s="48">
        <f t="shared" si="2"/>
        <v>1263</v>
      </c>
      <c r="F26" s="48">
        <v>1645</v>
      </c>
      <c r="G26" s="48">
        <v>382</v>
      </c>
      <c r="H26" s="48">
        <f t="shared" si="3"/>
        <v>163</v>
      </c>
      <c r="I26" s="48">
        <v>7154</v>
      </c>
      <c r="J26" s="48">
        <v>6991</v>
      </c>
      <c r="K26" s="48">
        <v>864</v>
      </c>
      <c r="L26" s="270">
        <v>245</v>
      </c>
    </row>
    <row r="27" spans="1:12" ht="14.25" customHeight="1">
      <c r="A27" s="720" t="s">
        <v>555</v>
      </c>
      <c r="B27" s="721"/>
      <c r="C27" s="722">
        <f t="shared" si="1"/>
        <v>1389</v>
      </c>
      <c r="D27" s="722"/>
      <c r="E27" s="48">
        <f t="shared" si="2"/>
        <v>1338</v>
      </c>
      <c r="F27" s="48">
        <v>1712</v>
      </c>
      <c r="G27" s="48">
        <v>374</v>
      </c>
      <c r="H27" s="48">
        <f t="shared" si="3"/>
        <v>51</v>
      </c>
      <c r="I27" s="48">
        <v>6917</v>
      </c>
      <c r="J27" s="48">
        <v>6866</v>
      </c>
      <c r="K27" s="48">
        <v>800</v>
      </c>
      <c r="L27" s="270">
        <v>291</v>
      </c>
    </row>
    <row r="28" spans="1:12" ht="14.25" customHeight="1">
      <c r="A28" s="720" t="s">
        <v>556</v>
      </c>
      <c r="B28" s="721"/>
      <c r="C28" s="722">
        <f t="shared" si="1"/>
        <v>1728</v>
      </c>
      <c r="D28" s="722"/>
      <c r="E28" s="48">
        <f t="shared" si="2"/>
        <v>1279</v>
      </c>
      <c r="F28" s="48">
        <v>1677</v>
      </c>
      <c r="G28" s="48">
        <v>398</v>
      </c>
      <c r="H28" s="48">
        <f t="shared" si="3"/>
        <v>449</v>
      </c>
      <c r="I28" s="48">
        <v>6981</v>
      </c>
      <c r="J28" s="48">
        <v>6532</v>
      </c>
      <c r="K28" s="48">
        <v>833</v>
      </c>
      <c r="L28" s="270">
        <v>297</v>
      </c>
    </row>
    <row r="29" spans="1:12" ht="14.25" customHeight="1">
      <c r="A29" s="720" t="s">
        <v>557</v>
      </c>
      <c r="B29" s="721"/>
      <c r="C29" s="722">
        <f t="shared" si="1"/>
        <v>1230</v>
      </c>
      <c r="D29" s="722"/>
      <c r="E29" s="48">
        <f t="shared" si="2"/>
        <v>1217</v>
      </c>
      <c r="F29" s="48">
        <v>1635</v>
      </c>
      <c r="G29" s="48">
        <v>418</v>
      </c>
      <c r="H29" s="48">
        <f t="shared" si="3"/>
        <v>13</v>
      </c>
      <c r="I29" s="48">
        <v>6650</v>
      </c>
      <c r="J29" s="48">
        <v>6637</v>
      </c>
      <c r="K29" s="48">
        <v>841</v>
      </c>
      <c r="L29" s="270">
        <v>316</v>
      </c>
    </row>
    <row r="30" spans="1:12" ht="14.25" customHeight="1">
      <c r="A30" s="720" t="s">
        <v>558</v>
      </c>
      <c r="B30" s="721"/>
      <c r="C30" s="722">
        <f t="shared" si="1"/>
        <v>462</v>
      </c>
      <c r="D30" s="722"/>
      <c r="E30" s="48">
        <f t="shared" si="2"/>
        <v>1238</v>
      </c>
      <c r="F30" s="48">
        <v>1675</v>
      </c>
      <c r="G30" s="48">
        <v>437</v>
      </c>
      <c r="H30" s="48">
        <f t="shared" si="3"/>
        <v>-776</v>
      </c>
      <c r="I30" s="48">
        <v>6032</v>
      </c>
      <c r="J30" s="48">
        <v>6808</v>
      </c>
      <c r="K30" s="48">
        <v>818</v>
      </c>
      <c r="L30" s="270">
        <v>339</v>
      </c>
    </row>
    <row r="31" spans="1:12" ht="14.25" customHeight="1">
      <c r="A31" s="720" t="s">
        <v>559</v>
      </c>
      <c r="B31" s="721"/>
      <c r="C31" s="722">
        <f t="shared" si="1"/>
        <v>715</v>
      </c>
      <c r="D31" s="722"/>
      <c r="E31" s="48">
        <f t="shared" si="2"/>
        <v>1145</v>
      </c>
      <c r="F31" s="48">
        <v>1559</v>
      </c>
      <c r="G31" s="48">
        <v>414</v>
      </c>
      <c r="H31" s="48">
        <f t="shared" si="3"/>
        <v>-430</v>
      </c>
      <c r="I31" s="48">
        <v>6295</v>
      </c>
      <c r="J31" s="48">
        <v>6725</v>
      </c>
      <c r="K31" s="48">
        <v>833</v>
      </c>
      <c r="L31" s="270">
        <v>310</v>
      </c>
    </row>
    <row r="32" spans="1:12" ht="14.25" customHeight="1">
      <c r="A32" s="720" t="s">
        <v>560</v>
      </c>
      <c r="B32" s="721"/>
      <c r="C32" s="722">
        <f t="shared" si="1"/>
        <v>736</v>
      </c>
      <c r="D32" s="722"/>
      <c r="E32" s="48">
        <f t="shared" si="2"/>
        <v>1143</v>
      </c>
      <c r="F32" s="48">
        <v>1621</v>
      </c>
      <c r="G32" s="48">
        <v>478</v>
      </c>
      <c r="H32" s="42">
        <f t="shared" si="3"/>
        <v>-407</v>
      </c>
      <c r="I32" s="48">
        <v>6152</v>
      </c>
      <c r="J32" s="48">
        <v>6559</v>
      </c>
      <c r="K32" s="48">
        <v>771</v>
      </c>
      <c r="L32" s="270">
        <v>296</v>
      </c>
    </row>
    <row r="33" spans="1:12" ht="14.25" customHeight="1">
      <c r="A33" s="720" t="s">
        <v>561</v>
      </c>
      <c r="B33" s="721"/>
      <c r="C33" s="722">
        <f t="shared" si="1"/>
        <v>589</v>
      </c>
      <c r="D33" s="722"/>
      <c r="E33" s="48">
        <f t="shared" si="2"/>
        <v>1041</v>
      </c>
      <c r="F33" s="48">
        <v>1542</v>
      </c>
      <c r="G33" s="48">
        <v>501</v>
      </c>
      <c r="H33" s="42">
        <f t="shared" si="3"/>
        <v>-452</v>
      </c>
      <c r="I33" s="48">
        <v>6092</v>
      </c>
      <c r="J33" s="48">
        <v>6544</v>
      </c>
      <c r="K33" s="48">
        <v>781</v>
      </c>
      <c r="L33" s="270">
        <v>304</v>
      </c>
    </row>
    <row r="34" spans="1:12" ht="14.25" customHeight="1">
      <c r="A34" s="720" t="s">
        <v>562</v>
      </c>
      <c r="B34" s="721"/>
      <c r="C34" s="722">
        <f t="shared" si="1"/>
        <v>947</v>
      </c>
      <c r="D34" s="722"/>
      <c r="E34" s="48">
        <f>F34-G34</f>
        <v>975</v>
      </c>
      <c r="F34" s="48">
        <v>1478</v>
      </c>
      <c r="G34" s="48">
        <v>503</v>
      </c>
      <c r="H34" s="42">
        <f t="shared" si="3"/>
        <v>-28</v>
      </c>
      <c r="I34" s="48">
        <v>6251</v>
      </c>
      <c r="J34" s="48">
        <v>6279</v>
      </c>
      <c r="K34" s="48">
        <v>798</v>
      </c>
      <c r="L34" s="270">
        <v>327</v>
      </c>
    </row>
    <row r="35" spans="1:12" ht="14.25" customHeight="1">
      <c r="A35" s="720" t="s">
        <v>563</v>
      </c>
      <c r="B35" s="721"/>
      <c r="C35" s="722">
        <f t="shared" si="1"/>
        <v>874</v>
      </c>
      <c r="D35" s="722"/>
      <c r="E35" s="48">
        <f t="shared" si="2"/>
        <v>1022</v>
      </c>
      <c r="F35" s="48">
        <v>1525</v>
      </c>
      <c r="G35" s="48">
        <v>503</v>
      </c>
      <c r="H35" s="42">
        <f t="shared" si="3"/>
        <v>-148</v>
      </c>
      <c r="I35" s="48">
        <v>6144</v>
      </c>
      <c r="J35" s="48">
        <v>6292</v>
      </c>
      <c r="K35" s="48">
        <v>1282</v>
      </c>
      <c r="L35" s="270">
        <v>444</v>
      </c>
    </row>
    <row r="36" spans="1:12" s="49" customFormat="1" ht="14.25" customHeight="1">
      <c r="A36" s="720" t="s">
        <v>564</v>
      </c>
      <c r="B36" s="721"/>
      <c r="C36" s="722">
        <f t="shared" si="1"/>
        <v>786</v>
      </c>
      <c r="D36" s="722"/>
      <c r="E36" s="48">
        <f t="shared" si="2"/>
        <v>908</v>
      </c>
      <c r="F36" s="48">
        <v>1503</v>
      </c>
      <c r="G36" s="48">
        <v>595</v>
      </c>
      <c r="H36" s="48">
        <f t="shared" si="3"/>
        <v>-122</v>
      </c>
      <c r="I36" s="48">
        <v>6076</v>
      </c>
      <c r="J36" s="48">
        <v>6198</v>
      </c>
      <c r="K36" s="48">
        <v>1206</v>
      </c>
      <c r="L36" s="270">
        <v>440</v>
      </c>
    </row>
    <row r="37" spans="1:12" s="49" customFormat="1" ht="14.25" customHeight="1">
      <c r="A37" s="720" t="s">
        <v>565</v>
      </c>
      <c r="B37" s="721"/>
      <c r="C37" s="722">
        <f t="shared" si="1"/>
        <v>689</v>
      </c>
      <c r="D37" s="722"/>
      <c r="E37" s="48">
        <f t="shared" si="2"/>
        <v>957</v>
      </c>
      <c r="F37" s="48">
        <v>1516</v>
      </c>
      <c r="G37" s="48">
        <v>559</v>
      </c>
      <c r="H37" s="48">
        <f>I37-J37</f>
        <v>-268</v>
      </c>
      <c r="I37" s="48">
        <v>5782</v>
      </c>
      <c r="J37" s="48">
        <v>6050</v>
      </c>
      <c r="K37" s="48">
        <v>1371</v>
      </c>
      <c r="L37" s="270">
        <v>463</v>
      </c>
    </row>
    <row r="38" spans="1:12" s="49" customFormat="1" ht="14.25" customHeight="1">
      <c r="A38" s="720" t="s">
        <v>665</v>
      </c>
      <c r="B38" s="721"/>
      <c r="C38" s="722">
        <f t="shared" si="1"/>
        <v>883</v>
      </c>
      <c r="D38" s="722"/>
      <c r="E38" s="48">
        <f t="shared" si="2"/>
        <v>967</v>
      </c>
      <c r="F38" s="48">
        <v>1544</v>
      </c>
      <c r="G38" s="48">
        <v>577</v>
      </c>
      <c r="H38" s="48">
        <f t="shared" si="3"/>
        <v>-84</v>
      </c>
      <c r="I38" s="48">
        <v>5675</v>
      </c>
      <c r="J38" s="48">
        <v>5759</v>
      </c>
      <c r="K38" s="50">
        <v>1301</v>
      </c>
      <c r="L38" s="271">
        <v>411</v>
      </c>
    </row>
    <row r="39" spans="1:12" s="49" customFormat="1" ht="14.25" customHeight="1">
      <c r="A39" s="724" t="s">
        <v>666</v>
      </c>
      <c r="B39" s="725"/>
      <c r="C39" s="722">
        <f>E39+H39</f>
        <v>657</v>
      </c>
      <c r="D39" s="722"/>
      <c r="E39" s="48">
        <f t="shared" si="2"/>
        <v>853</v>
      </c>
      <c r="F39" s="48">
        <v>1507</v>
      </c>
      <c r="G39" s="48">
        <v>654</v>
      </c>
      <c r="H39" s="48">
        <f t="shared" si="3"/>
        <v>-196</v>
      </c>
      <c r="I39" s="48">
        <v>5698</v>
      </c>
      <c r="J39" s="48">
        <v>5894</v>
      </c>
      <c r="K39" s="51">
        <v>1318</v>
      </c>
      <c r="L39" s="272">
        <v>443</v>
      </c>
    </row>
    <row r="40" spans="1:12" s="49" customFormat="1" ht="14.25" customHeight="1">
      <c r="A40" s="720" t="s">
        <v>667</v>
      </c>
      <c r="B40" s="721"/>
      <c r="C40" s="723">
        <f>E40+H40</f>
        <v>727</v>
      </c>
      <c r="D40" s="723"/>
      <c r="E40" s="163">
        <f>F40-G40</f>
        <v>859</v>
      </c>
      <c r="F40" s="163">
        <v>1542</v>
      </c>
      <c r="G40" s="163">
        <v>683</v>
      </c>
      <c r="H40" s="163">
        <f>I40-J40</f>
        <v>-132</v>
      </c>
      <c r="I40" s="163">
        <v>5604</v>
      </c>
      <c r="J40" s="163">
        <v>5736</v>
      </c>
      <c r="K40" s="163">
        <v>1222</v>
      </c>
      <c r="L40" s="274">
        <v>475</v>
      </c>
    </row>
    <row r="41" spans="1:12" s="138" customFormat="1" ht="14.25" customHeight="1">
      <c r="A41" s="714" t="s">
        <v>668</v>
      </c>
      <c r="B41" s="715"/>
      <c r="C41" s="718">
        <f>E41+H41</f>
        <v>1573</v>
      </c>
      <c r="D41" s="719"/>
      <c r="E41" s="137">
        <f>F41-G41</f>
        <v>899</v>
      </c>
      <c r="F41" s="137">
        <v>1540</v>
      </c>
      <c r="G41" s="137">
        <v>641</v>
      </c>
      <c r="H41" s="137">
        <f>I41-J41</f>
        <v>674</v>
      </c>
      <c r="I41" s="137">
        <v>6298</v>
      </c>
      <c r="J41" s="137">
        <v>5624</v>
      </c>
      <c r="K41" s="137">
        <v>1271</v>
      </c>
      <c r="L41" s="273">
        <v>428</v>
      </c>
    </row>
    <row r="42" spans="1:12" s="138" customFormat="1" ht="9.9499999999999993" customHeight="1">
      <c r="A42" s="515"/>
      <c r="B42" s="516"/>
      <c r="C42" s="139"/>
      <c r="D42" s="137"/>
      <c r="E42" s="137"/>
      <c r="F42" s="137"/>
      <c r="G42" s="137"/>
      <c r="H42" s="137"/>
      <c r="I42" s="137"/>
      <c r="J42" s="137"/>
      <c r="K42" s="137"/>
      <c r="L42" s="273"/>
    </row>
    <row r="43" spans="1:12" s="138" customFormat="1" ht="14.25" customHeight="1">
      <c r="A43" s="716" t="s">
        <v>671</v>
      </c>
      <c r="B43" s="717"/>
      <c r="C43" s="710">
        <f t="shared" ref="C43:C54" si="4">E43+H43</f>
        <v>106</v>
      </c>
      <c r="D43" s="710"/>
      <c r="E43" s="163">
        <f t="shared" ref="E43:E54" si="5">F43-G43</f>
        <v>65</v>
      </c>
      <c r="F43" s="163">
        <v>130</v>
      </c>
      <c r="G43" s="163">
        <v>65</v>
      </c>
      <c r="H43" s="163">
        <f>I43-J43</f>
        <v>41</v>
      </c>
      <c r="I43" s="163">
        <v>351</v>
      </c>
      <c r="J43" s="163">
        <v>310</v>
      </c>
      <c r="K43" s="163">
        <v>95</v>
      </c>
      <c r="L43" s="274">
        <v>25</v>
      </c>
    </row>
    <row r="44" spans="1:12" s="136" customFormat="1" ht="14.25" customHeight="1">
      <c r="A44" s="513" t="s">
        <v>566</v>
      </c>
      <c r="B44" s="514"/>
      <c r="C44" s="710">
        <f t="shared" si="4"/>
        <v>105</v>
      </c>
      <c r="D44" s="710"/>
      <c r="E44" s="163">
        <f t="shared" si="5"/>
        <v>73</v>
      </c>
      <c r="F44" s="163">
        <v>120</v>
      </c>
      <c r="G44" s="163">
        <v>47</v>
      </c>
      <c r="H44" s="163">
        <f>I44-J44</f>
        <v>32</v>
      </c>
      <c r="I44" s="163">
        <v>374</v>
      </c>
      <c r="J44" s="163">
        <v>342</v>
      </c>
      <c r="K44" s="163">
        <v>103</v>
      </c>
      <c r="L44" s="274">
        <v>39</v>
      </c>
    </row>
    <row r="45" spans="1:12" s="136" customFormat="1" ht="14.25" customHeight="1">
      <c r="A45" s="513" t="s">
        <v>567</v>
      </c>
      <c r="B45" s="514"/>
      <c r="C45" s="710">
        <f t="shared" si="4"/>
        <v>-57</v>
      </c>
      <c r="D45" s="710"/>
      <c r="E45" s="163">
        <f t="shared" si="5"/>
        <v>80</v>
      </c>
      <c r="F45" s="163">
        <v>127</v>
      </c>
      <c r="G45" s="163">
        <v>47</v>
      </c>
      <c r="H45" s="163">
        <f t="shared" ref="H45:H54" si="6">I45-J45</f>
        <v>-137</v>
      </c>
      <c r="I45" s="163">
        <v>826</v>
      </c>
      <c r="J45" s="163">
        <v>963</v>
      </c>
      <c r="K45" s="163">
        <v>132</v>
      </c>
      <c r="L45" s="274">
        <v>55</v>
      </c>
    </row>
    <row r="46" spans="1:12" s="136" customFormat="1" ht="14.25" customHeight="1">
      <c r="A46" s="513" t="s">
        <v>568</v>
      </c>
      <c r="B46" s="514"/>
      <c r="C46" s="710">
        <f t="shared" si="4"/>
        <v>155</v>
      </c>
      <c r="D46" s="710"/>
      <c r="E46" s="163">
        <f t="shared" si="5"/>
        <v>54</v>
      </c>
      <c r="F46" s="163">
        <v>106</v>
      </c>
      <c r="G46" s="163">
        <v>52</v>
      </c>
      <c r="H46" s="163">
        <f t="shared" si="6"/>
        <v>101</v>
      </c>
      <c r="I46" s="163">
        <v>982</v>
      </c>
      <c r="J46" s="163">
        <v>881</v>
      </c>
      <c r="K46" s="163">
        <v>97</v>
      </c>
      <c r="L46" s="274">
        <v>31</v>
      </c>
    </row>
    <row r="47" spans="1:12" s="136" customFormat="1" ht="14.25" customHeight="1">
      <c r="A47" s="513" t="s">
        <v>569</v>
      </c>
      <c r="B47" s="514"/>
      <c r="C47" s="710">
        <f t="shared" si="4"/>
        <v>78</v>
      </c>
      <c r="D47" s="710"/>
      <c r="E47" s="163">
        <f t="shared" si="5"/>
        <v>99</v>
      </c>
      <c r="F47" s="163">
        <v>144</v>
      </c>
      <c r="G47" s="163">
        <v>45</v>
      </c>
      <c r="H47" s="163">
        <f t="shared" si="6"/>
        <v>-21</v>
      </c>
      <c r="I47" s="163">
        <v>422</v>
      </c>
      <c r="J47" s="163">
        <v>443</v>
      </c>
      <c r="K47" s="163">
        <v>124</v>
      </c>
      <c r="L47" s="274">
        <v>27</v>
      </c>
    </row>
    <row r="48" spans="1:12" s="136" customFormat="1" ht="14.25" customHeight="1">
      <c r="A48" s="513" t="s">
        <v>570</v>
      </c>
      <c r="B48" s="514"/>
      <c r="C48" s="710">
        <f t="shared" si="4"/>
        <v>12</v>
      </c>
      <c r="D48" s="710"/>
      <c r="E48" s="163">
        <f t="shared" si="5"/>
        <v>58</v>
      </c>
      <c r="F48" s="163">
        <v>107</v>
      </c>
      <c r="G48" s="163">
        <v>49</v>
      </c>
      <c r="H48" s="163">
        <f t="shared" si="6"/>
        <v>-46</v>
      </c>
      <c r="I48" s="163">
        <v>322</v>
      </c>
      <c r="J48" s="163">
        <v>368</v>
      </c>
      <c r="K48" s="163">
        <v>97</v>
      </c>
      <c r="L48" s="274">
        <v>32</v>
      </c>
    </row>
    <row r="49" spans="1:12" s="136" customFormat="1" ht="14.25" customHeight="1">
      <c r="A49" s="513" t="s">
        <v>571</v>
      </c>
      <c r="B49" s="514"/>
      <c r="C49" s="710">
        <f t="shared" si="4"/>
        <v>638</v>
      </c>
      <c r="D49" s="710"/>
      <c r="E49" s="163">
        <f t="shared" si="5"/>
        <v>86</v>
      </c>
      <c r="F49" s="163">
        <v>140</v>
      </c>
      <c r="G49" s="163">
        <v>54</v>
      </c>
      <c r="H49" s="163">
        <f t="shared" si="6"/>
        <v>552</v>
      </c>
      <c r="I49" s="163">
        <v>997</v>
      </c>
      <c r="J49" s="163">
        <v>445</v>
      </c>
      <c r="K49" s="163">
        <v>101</v>
      </c>
      <c r="L49" s="274">
        <v>37</v>
      </c>
    </row>
    <row r="50" spans="1:12" s="136" customFormat="1" ht="14.25" customHeight="1">
      <c r="A50" s="513" t="s">
        <v>572</v>
      </c>
      <c r="B50" s="514"/>
      <c r="C50" s="710">
        <f t="shared" si="4"/>
        <v>118</v>
      </c>
      <c r="D50" s="710"/>
      <c r="E50" s="163">
        <f t="shared" si="5"/>
        <v>83</v>
      </c>
      <c r="F50" s="163">
        <v>142</v>
      </c>
      <c r="G50" s="163">
        <v>59</v>
      </c>
      <c r="H50" s="163">
        <f t="shared" si="6"/>
        <v>35</v>
      </c>
      <c r="I50" s="163">
        <v>458</v>
      </c>
      <c r="J50" s="163">
        <v>423</v>
      </c>
      <c r="K50" s="163">
        <v>108</v>
      </c>
      <c r="L50" s="274">
        <v>40</v>
      </c>
    </row>
    <row r="51" spans="1:12" s="136" customFormat="1" ht="14.25" customHeight="1">
      <c r="A51" s="513" t="s">
        <v>573</v>
      </c>
      <c r="B51" s="514"/>
      <c r="C51" s="710">
        <f t="shared" si="4"/>
        <v>90</v>
      </c>
      <c r="D51" s="710"/>
      <c r="E51" s="163">
        <f t="shared" si="5"/>
        <v>87</v>
      </c>
      <c r="F51" s="163">
        <v>131</v>
      </c>
      <c r="G51" s="163">
        <v>44</v>
      </c>
      <c r="H51" s="163">
        <f t="shared" si="6"/>
        <v>3</v>
      </c>
      <c r="I51" s="163">
        <v>365</v>
      </c>
      <c r="J51" s="163">
        <v>362</v>
      </c>
      <c r="K51" s="163">
        <v>70</v>
      </c>
      <c r="L51" s="274">
        <v>32</v>
      </c>
    </row>
    <row r="52" spans="1:12" s="136" customFormat="1" ht="14.25" customHeight="1">
      <c r="A52" s="513" t="s">
        <v>574</v>
      </c>
      <c r="B52" s="514"/>
      <c r="C52" s="710">
        <f t="shared" si="4"/>
        <v>118</v>
      </c>
      <c r="D52" s="710"/>
      <c r="E52" s="163">
        <f t="shared" si="5"/>
        <v>84</v>
      </c>
      <c r="F52" s="163">
        <v>145</v>
      </c>
      <c r="G52" s="163">
        <v>61</v>
      </c>
      <c r="H52" s="163">
        <f t="shared" si="6"/>
        <v>34</v>
      </c>
      <c r="I52" s="163">
        <v>440</v>
      </c>
      <c r="J52" s="163">
        <v>406</v>
      </c>
      <c r="K52" s="163">
        <v>102</v>
      </c>
      <c r="L52" s="274">
        <v>44</v>
      </c>
    </row>
    <row r="53" spans="1:12" s="136" customFormat="1" ht="14.25" customHeight="1">
      <c r="A53" s="513" t="s">
        <v>575</v>
      </c>
      <c r="B53" s="514"/>
      <c r="C53" s="710">
        <f t="shared" si="4"/>
        <v>183</v>
      </c>
      <c r="D53" s="710"/>
      <c r="E53" s="163">
        <f t="shared" si="5"/>
        <v>76</v>
      </c>
      <c r="F53" s="163">
        <v>130</v>
      </c>
      <c r="G53" s="163">
        <v>54</v>
      </c>
      <c r="H53" s="163">
        <f t="shared" si="6"/>
        <v>107</v>
      </c>
      <c r="I53" s="163">
        <v>430</v>
      </c>
      <c r="J53" s="163">
        <v>323</v>
      </c>
      <c r="K53" s="163">
        <v>107</v>
      </c>
      <c r="L53" s="274">
        <v>43</v>
      </c>
    </row>
    <row r="54" spans="1:12" s="136" customFormat="1" ht="14.25" customHeight="1" thickBot="1">
      <c r="A54" s="711" t="s">
        <v>576</v>
      </c>
      <c r="B54" s="712"/>
      <c r="C54" s="713">
        <f t="shared" si="4"/>
        <v>27</v>
      </c>
      <c r="D54" s="713"/>
      <c r="E54" s="275">
        <f t="shared" si="5"/>
        <v>54</v>
      </c>
      <c r="F54" s="275">
        <v>118</v>
      </c>
      <c r="G54" s="275">
        <v>64</v>
      </c>
      <c r="H54" s="275">
        <f t="shared" si="6"/>
        <v>-27</v>
      </c>
      <c r="I54" s="275">
        <v>331</v>
      </c>
      <c r="J54" s="275">
        <v>358</v>
      </c>
      <c r="K54" s="275">
        <v>135</v>
      </c>
      <c r="L54" s="623">
        <v>23</v>
      </c>
    </row>
    <row r="55" spans="1:12" s="136" customFormat="1" ht="14.25" customHeight="1">
      <c r="A55" s="624" t="s">
        <v>688</v>
      </c>
      <c r="B55" s="624"/>
      <c r="C55" s="625"/>
      <c r="D55" s="43"/>
      <c r="E55" s="43"/>
      <c r="F55" s="43"/>
      <c r="G55" s="43"/>
      <c r="H55" s="43"/>
      <c r="I55" s="626"/>
      <c r="J55" s="43"/>
      <c r="K55" s="43"/>
      <c r="L55" s="18" t="s">
        <v>185</v>
      </c>
    </row>
    <row r="56" spans="1:12" ht="18" customHeight="1">
      <c r="B56" s="18"/>
    </row>
  </sheetData>
  <sheetProtection selectLockedCells="1" selectUnlockedCells="1"/>
  <mergeCells count="71">
    <mergeCell ref="H22:J22"/>
    <mergeCell ref="B18:C18"/>
    <mergeCell ref="B19:C19"/>
    <mergeCell ref="A21:F21"/>
    <mergeCell ref="B20:G20"/>
    <mergeCell ref="E22:G22"/>
    <mergeCell ref="A3:D3"/>
    <mergeCell ref="B6:C6"/>
    <mergeCell ref="B7:C7"/>
    <mergeCell ref="B13:C13"/>
    <mergeCell ref="A4:D4"/>
    <mergeCell ref="B8:C8"/>
    <mergeCell ref="B9:C9"/>
    <mergeCell ref="B11:C11"/>
    <mergeCell ref="B12:C12"/>
    <mergeCell ref="B10:C10"/>
    <mergeCell ref="B14:C14"/>
    <mergeCell ref="B17:C17"/>
    <mergeCell ref="A22:B24"/>
    <mergeCell ref="C22:D23"/>
    <mergeCell ref="B15:C15"/>
    <mergeCell ref="B16:C16"/>
    <mergeCell ref="A26:B26"/>
    <mergeCell ref="C25:D25"/>
    <mergeCell ref="C24:D24"/>
    <mergeCell ref="A25:B25"/>
    <mergeCell ref="A27:B27"/>
    <mergeCell ref="C26:D26"/>
    <mergeCell ref="C27:D27"/>
    <mergeCell ref="C36:D36"/>
    <mergeCell ref="A34:B34"/>
    <mergeCell ref="C35:D35"/>
    <mergeCell ref="A29:B29"/>
    <mergeCell ref="C28:D28"/>
    <mergeCell ref="A30:B30"/>
    <mergeCell ref="C29:D29"/>
    <mergeCell ref="A28:B28"/>
    <mergeCell ref="A31:B31"/>
    <mergeCell ref="C33:D33"/>
    <mergeCell ref="A40:B40"/>
    <mergeCell ref="C39:D39"/>
    <mergeCell ref="C40:D40"/>
    <mergeCell ref="C30:D30"/>
    <mergeCell ref="A32:B32"/>
    <mergeCell ref="C31:D31"/>
    <mergeCell ref="C32:D32"/>
    <mergeCell ref="A39:B39"/>
    <mergeCell ref="C38:D38"/>
    <mergeCell ref="A33:B33"/>
    <mergeCell ref="A38:B38"/>
    <mergeCell ref="C37:D37"/>
    <mergeCell ref="A35:B35"/>
    <mergeCell ref="C34:D34"/>
    <mergeCell ref="A36:B36"/>
    <mergeCell ref="A37:B37"/>
    <mergeCell ref="C47:D47"/>
    <mergeCell ref="C48:D48"/>
    <mergeCell ref="A41:B41"/>
    <mergeCell ref="C45:D45"/>
    <mergeCell ref="C43:D43"/>
    <mergeCell ref="A43:B43"/>
    <mergeCell ref="C44:D44"/>
    <mergeCell ref="C46:D46"/>
    <mergeCell ref="C41:D41"/>
    <mergeCell ref="C49:D49"/>
    <mergeCell ref="C52:D52"/>
    <mergeCell ref="A54:B54"/>
    <mergeCell ref="C53:D53"/>
    <mergeCell ref="C50:D50"/>
    <mergeCell ref="C51:D51"/>
    <mergeCell ref="C54:D5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&amp;L&amp;"ＭＳ 明朝,標準"&amp;10人　口</oddHeader>
    <oddFooter>&amp;C&amp;"ＭＳ 明朝,標準"&amp;10&amp;A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P50"/>
  <sheetViews>
    <sheetView view="pageBreakPreview" topLeftCell="A52" zoomScale="115" zoomScaleNormal="120" workbookViewId="0">
      <selection activeCell="I12" sqref="I12"/>
    </sheetView>
  </sheetViews>
  <sheetFormatPr defaultRowHeight="15.95" customHeight="1"/>
  <cols>
    <col min="1" max="1" width="1.25" style="149" customWidth="1"/>
    <col min="2" max="2" width="8.625" style="149" customWidth="1"/>
    <col min="3" max="3" width="7.375" style="149" customWidth="1"/>
    <col min="4" max="4" width="7.625" style="159" customWidth="1"/>
    <col min="5" max="5" width="7.625" style="149" customWidth="1"/>
    <col min="6" max="6" width="7.625" style="159" customWidth="1"/>
    <col min="7" max="7" width="7.625" style="149" customWidth="1"/>
    <col min="8" max="8" width="1.25" style="149" customWidth="1"/>
    <col min="9" max="9" width="8.625" style="149" customWidth="1"/>
    <col min="10" max="10" width="6.25" style="149" customWidth="1"/>
    <col min="11" max="11" width="7.125" style="159" customWidth="1"/>
    <col min="12" max="12" width="6.375" style="149" customWidth="1"/>
    <col min="13" max="13" width="7.125" style="159" customWidth="1"/>
    <col min="14" max="14" width="7.5" style="149" customWidth="1"/>
    <col min="15" max="16384" width="9" style="149"/>
  </cols>
  <sheetData>
    <row r="1" spans="1:15" ht="5.0999999999999996" customHeight="1">
      <c r="B1" s="16"/>
      <c r="C1" s="43"/>
      <c r="D1" s="150"/>
      <c r="E1" s="43"/>
      <c r="F1" s="150"/>
      <c r="G1" s="43"/>
      <c r="H1" s="43"/>
      <c r="I1" s="43"/>
      <c r="J1" s="43"/>
      <c r="K1" s="150"/>
      <c r="L1" s="43"/>
      <c r="M1" s="150"/>
      <c r="N1" s="18"/>
    </row>
    <row r="2" spans="1:15" ht="15" customHeight="1" thickBot="1">
      <c r="A2" s="753" t="s">
        <v>669</v>
      </c>
      <c r="B2" s="753"/>
      <c r="C2" s="753"/>
      <c r="D2" s="753"/>
      <c r="E2" s="753"/>
      <c r="F2" s="753"/>
      <c r="G2" s="753"/>
      <c r="H2" s="753"/>
      <c r="I2" s="753"/>
      <c r="J2" s="43"/>
      <c r="K2" s="150"/>
      <c r="L2" s="43"/>
      <c r="M2" s="150"/>
      <c r="N2" s="18" t="s">
        <v>207</v>
      </c>
    </row>
    <row r="3" spans="1:15" s="166" customFormat="1" ht="20.25" customHeight="1">
      <c r="A3" s="734" t="s">
        <v>208</v>
      </c>
      <c r="B3" s="736"/>
      <c r="C3" s="167" t="s">
        <v>467</v>
      </c>
      <c r="D3" s="168" t="s">
        <v>209</v>
      </c>
      <c r="E3" s="167" t="s">
        <v>468</v>
      </c>
      <c r="F3" s="168" t="s">
        <v>209</v>
      </c>
      <c r="G3" s="169" t="s">
        <v>195</v>
      </c>
      <c r="H3" s="702" t="s">
        <v>208</v>
      </c>
      <c r="I3" s="736"/>
      <c r="J3" s="167" t="s">
        <v>467</v>
      </c>
      <c r="K3" s="168" t="s">
        <v>209</v>
      </c>
      <c r="L3" s="167" t="s">
        <v>468</v>
      </c>
      <c r="M3" s="168" t="s">
        <v>209</v>
      </c>
      <c r="N3" s="170" t="s">
        <v>195</v>
      </c>
    </row>
    <row r="4" spans="1:15" s="155" customFormat="1" ht="17.25" customHeight="1">
      <c r="A4" s="756" t="s">
        <v>210</v>
      </c>
      <c r="B4" s="757"/>
      <c r="C4" s="627">
        <f>SUM(C6:C15,C18:C31,J4:J19)</f>
        <v>3731</v>
      </c>
      <c r="D4" s="332">
        <f>SUM(D6:D15,D18:D31,K4:K19)</f>
        <v>0.99999999999999989</v>
      </c>
      <c r="E4" s="628">
        <f>SUM(E6:E15,E18:E31,L4:L19)</f>
        <v>3999</v>
      </c>
      <c r="F4" s="332">
        <f>SUM(F6:F15,F18:F31,M4:M19)</f>
        <v>0.99999999999999978</v>
      </c>
      <c r="G4" s="333">
        <f>SUM(G6:G15,G18:G31,N4:N19)</f>
        <v>-268</v>
      </c>
      <c r="H4" s="347"/>
      <c r="I4" s="343" t="s">
        <v>211</v>
      </c>
      <c r="J4" s="629">
        <v>148</v>
      </c>
      <c r="K4" s="338">
        <f t="shared" ref="K4:K19" si="0">J4/$C$4</f>
        <v>3.9667649423746988E-2</v>
      </c>
      <c r="L4" s="630">
        <v>169</v>
      </c>
      <c r="M4" s="338">
        <f>L4/$E$4</f>
        <v>4.2260565141285324E-2</v>
      </c>
      <c r="N4" s="274">
        <f>J4-L4</f>
        <v>-21</v>
      </c>
      <c r="O4" s="154"/>
    </row>
    <row r="5" spans="1:15" s="157" customFormat="1" ht="17.25" customHeight="1">
      <c r="A5" s="342"/>
      <c r="B5" s="343"/>
      <c r="C5" s="153"/>
      <c r="D5" s="328"/>
      <c r="E5" s="331"/>
      <c r="F5" s="328"/>
      <c r="G5" s="334"/>
      <c r="H5" s="348"/>
      <c r="I5" s="343" t="s">
        <v>212</v>
      </c>
      <c r="J5" s="153">
        <v>32</v>
      </c>
      <c r="K5" s="328">
        <f t="shared" si="0"/>
        <v>8.5767890645939426E-3</v>
      </c>
      <c r="L5" s="331">
        <v>71</v>
      </c>
      <c r="M5" s="328">
        <f t="shared" ref="M5:M19" si="1">L5/$E$4</f>
        <v>1.7754438609652413E-2</v>
      </c>
      <c r="N5" s="274">
        <f t="shared" ref="N5:N19" si="2">J5-L5</f>
        <v>-39</v>
      </c>
    </row>
    <row r="6" spans="1:15" s="157" customFormat="1" ht="17.25" customHeight="1">
      <c r="A6" s="342"/>
      <c r="B6" s="343" t="s">
        <v>213</v>
      </c>
      <c r="C6" s="153">
        <v>1344</v>
      </c>
      <c r="D6" s="328">
        <f t="shared" ref="D6:D15" si="3">C6/$C$4</f>
        <v>0.36022514071294559</v>
      </c>
      <c r="E6" s="331">
        <v>1328</v>
      </c>
      <c r="F6" s="328">
        <f t="shared" ref="F6:F15" si="4">E6/$E$4</f>
        <v>0.33208302075518881</v>
      </c>
      <c r="G6" s="334">
        <f t="shared" ref="G6:G15" si="5">C6-E6</f>
        <v>16</v>
      </c>
      <c r="H6" s="348"/>
      <c r="I6" s="343" t="s">
        <v>214</v>
      </c>
      <c r="J6" s="153">
        <v>40</v>
      </c>
      <c r="K6" s="328">
        <f t="shared" si="0"/>
        <v>1.0720986330742428E-2</v>
      </c>
      <c r="L6" s="331">
        <v>72</v>
      </c>
      <c r="M6" s="328">
        <f t="shared" si="1"/>
        <v>1.8004501125281319E-2</v>
      </c>
      <c r="N6" s="274">
        <f t="shared" si="2"/>
        <v>-32</v>
      </c>
    </row>
    <row r="7" spans="1:15" s="157" customFormat="1" ht="17.25" customHeight="1">
      <c r="A7" s="342"/>
      <c r="B7" s="343" t="s">
        <v>215</v>
      </c>
      <c r="C7" s="153">
        <v>144</v>
      </c>
      <c r="D7" s="328">
        <f t="shared" si="3"/>
        <v>3.8595550790672742E-2</v>
      </c>
      <c r="E7" s="331">
        <v>167</v>
      </c>
      <c r="F7" s="328">
        <f t="shared" si="4"/>
        <v>4.1760440110027504E-2</v>
      </c>
      <c r="G7" s="334">
        <f t="shared" si="5"/>
        <v>-23</v>
      </c>
      <c r="H7" s="348"/>
      <c r="I7" s="343" t="s">
        <v>216</v>
      </c>
      <c r="J7" s="153">
        <v>81</v>
      </c>
      <c r="K7" s="328">
        <f t="shared" si="0"/>
        <v>2.1709997319753416E-2</v>
      </c>
      <c r="L7" s="331">
        <v>100</v>
      </c>
      <c r="M7" s="328">
        <f t="shared" si="1"/>
        <v>2.5006251562890724E-2</v>
      </c>
      <c r="N7" s="274">
        <f t="shared" si="2"/>
        <v>-19</v>
      </c>
    </row>
    <row r="8" spans="1:15" s="157" customFormat="1" ht="17.25" customHeight="1">
      <c r="A8" s="342"/>
      <c r="B8" s="343" t="s">
        <v>217</v>
      </c>
      <c r="C8" s="153">
        <v>170</v>
      </c>
      <c r="D8" s="328">
        <f t="shared" si="3"/>
        <v>4.5564191905655319E-2</v>
      </c>
      <c r="E8" s="331">
        <v>169</v>
      </c>
      <c r="F8" s="328">
        <f t="shared" si="4"/>
        <v>4.2260565141285324E-2</v>
      </c>
      <c r="G8" s="334">
        <f t="shared" si="5"/>
        <v>1</v>
      </c>
      <c r="H8" s="348"/>
      <c r="I8" s="343" t="s">
        <v>218</v>
      </c>
      <c r="J8" s="153">
        <v>55</v>
      </c>
      <c r="K8" s="328">
        <f t="shared" si="0"/>
        <v>1.474135620477084E-2</v>
      </c>
      <c r="L8" s="331">
        <v>39</v>
      </c>
      <c r="M8" s="328">
        <f t="shared" si="1"/>
        <v>9.7524381095273824E-3</v>
      </c>
      <c r="N8" s="274">
        <f t="shared" si="2"/>
        <v>16</v>
      </c>
    </row>
    <row r="9" spans="1:15" s="157" customFormat="1" ht="17.25" customHeight="1">
      <c r="A9" s="342"/>
      <c r="B9" s="343" t="s">
        <v>219</v>
      </c>
      <c r="C9" s="153">
        <v>541</v>
      </c>
      <c r="D9" s="328">
        <f t="shared" si="3"/>
        <v>0.14500134012329136</v>
      </c>
      <c r="E9" s="331">
        <v>717</v>
      </c>
      <c r="F9" s="328">
        <f t="shared" si="4"/>
        <v>0.17929482370592648</v>
      </c>
      <c r="G9" s="334">
        <f t="shared" si="5"/>
        <v>-176</v>
      </c>
      <c r="H9" s="348"/>
      <c r="I9" s="343" t="s">
        <v>220</v>
      </c>
      <c r="J9" s="153">
        <v>5</v>
      </c>
      <c r="K9" s="328">
        <f t="shared" si="0"/>
        <v>1.3401232913428035E-3</v>
      </c>
      <c r="L9" s="331">
        <v>5</v>
      </c>
      <c r="M9" s="328">
        <f t="shared" si="1"/>
        <v>1.2503125781445361E-3</v>
      </c>
      <c r="N9" s="274">
        <f t="shared" si="2"/>
        <v>0</v>
      </c>
    </row>
    <row r="10" spans="1:15" s="157" customFormat="1" ht="17.25" customHeight="1">
      <c r="A10" s="342"/>
      <c r="B10" s="343" t="s">
        <v>221</v>
      </c>
      <c r="C10" s="153">
        <v>47</v>
      </c>
      <c r="D10" s="328">
        <f t="shared" si="3"/>
        <v>1.2597158938622354E-2</v>
      </c>
      <c r="E10" s="331">
        <v>77</v>
      </c>
      <c r="F10" s="328">
        <f t="shared" si="4"/>
        <v>1.9254813703425855E-2</v>
      </c>
      <c r="G10" s="334">
        <f t="shared" si="5"/>
        <v>-30</v>
      </c>
      <c r="H10" s="348"/>
      <c r="I10" s="343" t="s">
        <v>222</v>
      </c>
      <c r="J10" s="153">
        <v>4</v>
      </c>
      <c r="K10" s="328">
        <f t="shared" si="0"/>
        <v>1.0720986330742428E-3</v>
      </c>
      <c r="L10" s="331">
        <v>3</v>
      </c>
      <c r="M10" s="328">
        <f t="shared" si="1"/>
        <v>7.501875468867217E-4</v>
      </c>
      <c r="N10" s="274">
        <f t="shared" si="2"/>
        <v>1</v>
      </c>
    </row>
    <row r="11" spans="1:15" s="157" customFormat="1" ht="17.25" customHeight="1">
      <c r="A11" s="342"/>
      <c r="B11" s="343" t="s">
        <v>223</v>
      </c>
      <c r="C11" s="153">
        <v>160</v>
      </c>
      <c r="D11" s="328">
        <f t="shared" si="3"/>
        <v>4.2883945322969713E-2</v>
      </c>
      <c r="E11" s="331">
        <v>107</v>
      </c>
      <c r="F11" s="328">
        <f t="shared" si="4"/>
        <v>2.6756689172293072E-2</v>
      </c>
      <c r="G11" s="334">
        <f t="shared" si="5"/>
        <v>53</v>
      </c>
      <c r="H11" s="348"/>
      <c r="I11" s="343" t="s">
        <v>224</v>
      </c>
      <c r="J11" s="153">
        <v>7</v>
      </c>
      <c r="K11" s="328">
        <f t="shared" si="0"/>
        <v>1.876172607879925E-3</v>
      </c>
      <c r="L11" s="331">
        <v>7</v>
      </c>
      <c r="M11" s="328">
        <f t="shared" si="1"/>
        <v>1.7504376094023505E-3</v>
      </c>
      <c r="N11" s="274">
        <f t="shared" si="2"/>
        <v>0</v>
      </c>
    </row>
    <row r="12" spans="1:15" s="157" customFormat="1" ht="17.25" customHeight="1">
      <c r="A12" s="342"/>
      <c r="B12" s="343" t="s">
        <v>225</v>
      </c>
      <c r="C12" s="153">
        <v>114</v>
      </c>
      <c r="D12" s="328">
        <f t="shared" si="3"/>
        <v>3.0554811042615922E-2</v>
      </c>
      <c r="E12" s="331">
        <v>118</v>
      </c>
      <c r="F12" s="328">
        <f t="shared" si="4"/>
        <v>2.9507376844211054E-2</v>
      </c>
      <c r="G12" s="334">
        <f t="shared" si="5"/>
        <v>-4</v>
      </c>
      <c r="H12" s="348"/>
      <c r="I12" s="343" t="s">
        <v>226</v>
      </c>
      <c r="J12" s="153">
        <v>3</v>
      </c>
      <c r="K12" s="328">
        <f t="shared" si="0"/>
        <v>8.0407397480568212E-4</v>
      </c>
      <c r="L12" s="331">
        <v>1</v>
      </c>
      <c r="M12" s="328">
        <f t="shared" si="1"/>
        <v>2.5006251562890725E-4</v>
      </c>
      <c r="N12" s="274">
        <f t="shared" si="2"/>
        <v>2</v>
      </c>
    </row>
    <row r="13" spans="1:15" s="157" customFormat="1" ht="17.25" customHeight="1">
      <c r="A13" s="342"/>
      <c r="B13" s="343" t="s">
        <v>227</v>
      </c>
      <c r="C13" s="153">
        <v>122</v>
      </c>
      <c r="D13" s="328">
        <f t="shared" si="3"/>
        <v>3.2699008308764405E-2</v>
      </c>
      <c r="E13" s="331">
        <v>94</v>
      </c>
      <c r="F13" s="328">
        <f t="shared" si="4"/>
        <v>2.3505876469117278E-2</v>
      </c>
      <c r="G13" s="334">
        <f t="shared" si="5"/>
        <v>28</v>
      </c>
      <c r="H13" s="348"/>
      <c r="I13" s="343" t="s">
        <v>228</v>
      </c>
      <c r="J13" s="153">
        <v>15</v>
      </c>
      <c r="K13" s="328">
        <f t="shared" si="0"/>
        <v>4.0203698740284106E-3</v>
      </c>
      <c r="L13" s="331">
        <v>6</v>
      </c>
      <c r="M13" s="328">
        <f t="shared" si="1"/>
        <v>1.5003750937734434E-3</v>
      </c>
      <c r="N13" s="274">
        <f t="shared" si="2"/>
        <v>9</v>
      </c>
    </row>
    <row r="14" spans="1:15" s="157" customFormat="1" ht="17.25" customHeight="1">
      <c r="A14" s="342"/>
      <c r="B14" s="343" t="s">
        <v>229</v>
      </c>
      <c r="C14" s="153">
        <v>208</v>
      </c>
      <c r="D14" s="328">
        <f t="shared" si="3"/>
        <v>5.5749128919860627E-2</v>
      </c>
      <c r="E14" s="331">
        <v>230</v>
      </c>
      <c r="F14" s="328">
        <f t="shared" si="4"/>
        <v>5.7514378594648662E-2</v>
      </c>
      <c r="G14" s="334">
        <f t="shared" si="5"/>
        <v>-22</v>
      </c>
      <c r="H14" s="348"/>
      <c r="I14" s="343" t="s">
        <v>230</v>
      </c>
      <c r="J14" s="153">
        <v>8</v>
      </c>
      <c r="K14" s="328">
        <f t="shared" si="0"/>
        <v>2.1441972661484857E-3</v>
      </c>
      <c r="L14" s="331">
        <v>4</v>
      </c>
      <c r="M14" s="328">
        <f t="shared" si="1"/>
        <v>1.000250062515629E-3</v>
      </c>
      <c r="N14" s="274">
        <f t="shared" si="2"/>
        <v>4</v>
      </c>
    </row>
    <row r="15" spans="1:15" s="157" customFormat="1" ht="17.25" customHeight="1">
      <c r="A15" s="342"/>
      <c r="B15" s="343" t="s">
        <v>231</v>
      </c>
      <c r="C15" s="153">
        <v>118</v>
      </c>
      <c r="D15" s="328">
        <f t="shared" si="3"/>
        <v>3.1626909675690165E-2</v>
      </c>
      <c r="E15" s="331">
        <v>152</v>
      </c>
      <c r="F15" s="328">
        <f t="shared" si="4"/>
        <v>3.8009502375593897E-2</v>
      </c>
      <c r="G15" s="334">
        <f t="shared" si="5"/>
        <v>-34</v>
      </c>
      <c r="H15" s="347"/>
      <c r="I15" s="343" t="s">
        <v>232</v>
      </c>
      <c r="J15" s="153">
        <v>11</v>
      </c>
      <c r="K15" s="328">
        <f t="shared" si="0"/>
        <v>2.9482712409541678E-3</v>
      </c>
      <c r="L15" s="331">
        <v>4</v>
      </c>
      <c r="M15" s="328">
        <f t="shared" si="1"/>
        <v>1.000250062515629E-3</v>
      </c>
      <c r="N15" s="274">
        <f t="shared" si="2"/>
        <v>7</v>
      </c>
    </row>
    <row r="16" spans="1:15" s="157" customFormat="1" ht="17.25" customHeight="1">
      <c r="A16" s="758" t="s">
        <v>233</v>
      </c>
      <c r="B16" s="759"/>
      <c r="C16" s="151">
        <f>SUM(C6:C15)</f>
        <v>2968</v>
      </c>
      <c r="D16" s="327">
        <f>SUM(D6:D15)</f>
        <v>0.79549718574108808</v>
      </c>
      <c r="E16" s="330">
        <f>SUM(E6:E15)</f>
        <v>3159</v>
      </c>
      <c r="F16" s="327">
        <f>SUM(F6:F15)</f>
        <v>0.7899474868717179</v>
      </c>
      <c r="G16" s="333">
        <f>SUM(G6:G15)</f>
        <v>-191</v>
      </c>
      <c r="H16" s="347"/>
      <c r="I16" s="343" t="s">
        <v>234</v>
      </c>
      <c r="J16" s="153">
        <v>8</v>
      </c>
      <c r="K16" s="328">
        <f t="shared" si="0"/>
        <v>2.1441972661484857E-3</v>
      </c>
      <c r="L16" s="331">
        <v>5</v>
      </c>
      <c r="M16" s="328">
        <f t="shared" si="1"/>
        <v>1.2503125781445361E-3</v>
      </c>
      <c r="N16" s="274">
        <f t="shared" si="2"/>
        <v>3</v>
      </c>
    </row>
    <row r="17" spans="1:14" s="157" customFormat="1" ht="17.25" customHeight="1">
      <c r="A17" s="342"/>
      <c r="B17" s="344"/>
      <c r="C17" s="151"/>
      <c r="D17" s="327"/>
      <c r="E17" s="330"/>
      <c r="F17" s="327"/>
      <c r="G17" s="333"/>
      <c r="H17" s="348"/>
      <c r="I17" s="343" t="s">
        <v>235</v>
      </c>
      <c r="J17" s="153">
        <v>8</v>
      </c>
      <c r="K17" s="328">
        <f t="shared" si="0"/>
        <v>2.1441972661484857E-3</v>
      </c>
      <c r="L17" s="331">
        <v>2</v>
      </c>
      <c r="M17" s="328">
        <f t="shared" si="1"/>
        <v>5.0012503125781451E-4</v>
      </c>
      <c r="N17" s="274">
        <f t="shared" si="2"/>
        <v>6</v>
      </c>
    </row>
    <row r="18" spans="1:14" s="157" customFormat="1" ht="17.25" customHeight="1">
      <c r="A18" s="342"/>
      <c r="B18" s="343" t="s">
        <v>236</v>
      </c>
      <c r="C18" s="153">
        <v>10</v>
      </c>
      <c r="D18" s="328">
        <f t="shared" ref="D18:D31" si="6">C18/$C$4</f>
        <v>2.6802465826856071E-3</v>
      </c>
      <c r="E18" s="331">
        <v>8</v>
      </c>
      <c r="F18" s="328">
        <f t="shared" ref="F18:F31" si="7">E18/$E$4</f>
        <v>2.000500125031258E-3</v>
      </c>
      <c r="G18" s="334">
        <f t="shared" ref="G18:G31" si="8">C18-E18</f>
        <v>2</v>
      </c>
      <c r="H18" s="348"/>
      <c r="I18" s="343" t="s">
        <v>237</v>
      </c>
      <c r="J18" s="153">
        <v>4</v>
      </c>
      <c r="K18" s="328">
        <f t="shared" si="0"/>
        <v>1.0720986330742428E-3</v>
      </c>
      <c r="L18" s="331">
        <v>6</v>
      </c>
      <c r="M18" s="328">
        <f t="shared" si="1"/>
        <v>1.5003750937734434E-3</v>
      </c>
      <c r="N18" s="274">
        <f t="shared" si="2"/>
        <v>-2</v>
      </c>
    </row>
    <row r="19" spans="1:14" s="157" customFormat="1" ht="17.25" customHeight="1">
      <c r="A19" s="342"/>
      <c r="B19" s="343" t="s">
        <v>238</v>
      </c>
      <c r="C19" s="153">
        <v>6</v>
      </c>
      <c r="D19" s="328">
        <f t="shared" si="6"/>
        <v>1.6081479496113642E-3</v>
      </c>
      <c r="E19" s="331">
        <v>7</v>
      </c>
      <c r="F19" s="328">
        <f t="shared" si="7"/>
        <v>1.7504376094023505E-3</v>
      </c>
      <c r="G19" s="334">
        <f t="shared" si="8"/>
        <v>-1</v>
      </c>
      <c r="H19" s="348"/>
      <c r="I19" s="343" t="s">
        <v>239</v>
      </c>
      <c r="J19" s="153">
        <v>5</v>
      </c>
      <c r="K19" s="328">
        <f t="shared" si="0"/>
        <v>1.3401232913428035E-3</v>
      </c>
      <c r="L19" s="331">
        <v>4</v>
      </c>
      <c r="M19" s="328">
        <f t="shared" si="1"/>
        <v>1.000250062515629E-3</v>
      </c>
      <c r="N19" s="274">
        <f t="shared" si="2"/>
        <v>1</v>
      </c>
    </row>
    <row r="20" spans="1:14" s="157" customFormat="1" ht="17.25" customHeight="1">
      <c r="A20" s="342"/>
      <c r="B20" s="343" t="s">
        <v>240</v>
      </c>
      <c r="C20" s="153">
        <v>4</v>
      </c>
      <c r="D20" s="328">
        <f t="shared" si="6"/>
        <v>1.0720986330742428E-3</v>
      </c>
      <c r="E20" s="331">
        <v>6</v>
      </c>
      <c r="F20" s="328">
        <f t="shared" si="7"/>
        <v>1.5003750937734434E-3</v>
      </c>
      <c r="G20" s="334">
        <f t="shared" si="8"/>
        <v>-2</v>
      </c>
      <c r="H20" s="754" t="s">
        <v>241</v>
      </c>
      <c r="I20" s="755"/>
      <c r="J20" s="151">
        <f>SUM(C18:C31,J4:J19)</f>
        <v>763</v>
      </c>
      <c r="K20" s="327">
        <f>SUM(D18:D31,K4:K19)</f>
        <v>0.20450281425891184</v>
      </c>
      <c r="L20" s="330">
        <f>SUM(E18:E31,L4:L19)</f>
        <v>840</v>
      </c>
      <c r="M20" s="327">
        <f>SUM(F18:F31,M4:M19)</f>
        <v>0.21005251312828208</v>
      </c>
      <c r="N20" s="339">
        <f>SUM(G18:G31,N4:N19)</f>
        <v>-77</v>
      </c>
    </row>
    <row r="21" spans="1:14" s="157" customFormat="1" ht="17.25" customHeight="1">
      <c r="A21" s="342"/>
      <c r="B21" s="343" t="s">
        <v>242</v>
      </c>
      <c r="C21" s="153">
        <v>16</v>
      </c>
      <c r="D21" s="328">
        <f t="shared" si="6"/>
        <v>4.2883945322969713E-3</v>
      </c>
      <c r="E21" s="331">
        <v>16</v>
      </c>
      <c r="F21" s="328">
        <f t="shared" si="7"/>
        <v>4.001000250062516E-3</v>
      </c>
      <c r="G21" s="334">
        <f t="shared" si="8"/>
        <v>0</v>
      </c>
      <c r="H21" s="156"/>
      <c r="I21" s="152"/>
      <c r="J21" s="153"/>
      <c r="K21" s="328"/>
      <c r="L21" s="331"/>
      <c r="M21" s="328"/>
      <c r="N21" s="340"/>
    </row>
    <row r="22" spans="1:14" s="157" customFormat="1" ht="17.25" customHeight="1">
      <c r="A22" s="342"/>
      <c r="B22" s="343" t="s">
        <v>243</v>
      </c>
      <c r="C22" s="153">
        <v>27</v>
      </c>
      <c r="D22" s="328">
        <f t="shared" si="6"/>
        <v>7.2366657732511391E-3</v>
      </c>
      <c r="E22" s="331">
        <v>20</v>
      </c>
      <c r="F22" s="328">
        <f t="shared" si="7"/>
        <v>5.0012503125781444E-3</v>
      </c>
      <c r="G22" s="334">
        <f t="shared" si="8"/>
        <v>7</v>
      </c>
      <c r="H22" s="156"/>
      <c r="I22" s="152"/>
      <c r="J22" s="153"/>
      <c r="K22" s="328"/>
      <c r="L22" s="331"/>
      <c r="M22" s="328"/>
      <c r="N22" s="340"/>
    </row>
    <row r="23" spans="1:14" s="157" customFormat="1" ht="17.25" customHeight="1">
      <c r="A23" s="342"/>
      <c r="B23" s="343" t="s">
        <v>244</v>
      </c>
      <c r="C23" s="153">
        <v>21</v>
      </c>
      <c r="D23" s="328">
        <f t="shared" si="6"/>
        <v>5.6285178236397749E-3</v>
      </c>
      <c r="E23" s="331">
        <v>16</v>
      </c>
      <c r="F23" s="328">
        <f t="shared" si="7"/>
        <v>4.001000250062516E-3</v>
      </c>
      <c r="G23" s="334">
        <f t="shared" si="8"/>
        <v>5</v>
      </c>
      <c r="H23" s="156"/>
      <c r="I23" s="152"/>
      <c r="J23" s="153"/>
      <c r="K23" s="328"/>
      <c r="L23" s="331"/>
      <c r="M23" s="328"/>
      <c r="N23" s="340"/>
    </row>
    <row r="24" spans="1:14" s="157" customFormat="1" ht="17.25" customHeight="1">
      <c r="A24" s="342"/>
      <c r="B24" s="343" t="s">
        <v>245</v>
      </c>
      <c r="C24" s="153">
        <v>9</v>
      </c>
      <c r="D24" s="328">
        <f t="shared" si="6"/>
        <v>2.4122219244170464E-3</v>
      </c>
      <c r="E24" s="331">
        <v>17</v>
      </c>
      <c r="F24" s="328">
        <f t="shared" si="7"/>
        <v>4.2510627656914225E-3</v>
      </c>
      <c r="G24" s="334">
        <f t="shared" si="8"/>
        <v>-8</v>
      </c>
      <c r="H24" s="156"/>
      <c r="I24" s="152"/>
      <c r="J24" s="153"/>
      <c r="K24" s="328"/>
      <c r="L24" s="331"/>
      <c r="M24" s="328"/>
      <c r="N24" s="340"/>
    </row>
    <row r="25" spans="1:14" s="157" customFormat="1" ht="17.25" customHeight="1">
      <c r="A25" s="342"/>
      <c r="B25" s="343" t="s">
        <v>246</v>
      </c>
      <c r="C25" s="153">
        <v>17</v>
      </c>
      <c r="D25" s="328">
        <f t="shared" si="6"/>
        <v>4.556419190565532E-3</v>
      </c>
      <c r="E25" s="331">
        <v>17</v>
      </c>
      <c r="F25" s="328">
        <f t="shared" si="7"/>
        <v>4.2510627656914225E-3</v>
      </c>
      <c r="G25" s="334">
        <f t="shared" si="8"/>
        <v>0</v>
      </c>
      <c r="H25" s="156"/>
      <c r="I25" s="152"/>
      <c r="J25" s="153"/>
      <c r="K25" s="328"/>
      <c r="L25" s="331"/>
      <c r="M25" s="328"/>
      <c r="N25" s="340"/>
    </row>
    <row r="26" spans="1:14" s="157" customFormat="1" ht="17.25" customHeight="1">
      <c r="A26" s="342"/>
      <c r="B26" s="343" t="s">
        <v>247</v>
      </c>
      <c r="C26" s="153">
        <v>27</v>
      </c>
      <c r="D26" s="328">
        <f t="shared" si="6"/>
        <v>7.2366657732511391E-3</v>
      </c>
      <c r="E26" s="331">
        <v>15</v>
      </c>
      <c r="F26" s="328">
        <f t="shared" si="7"/>
        <v>3.7509377344336083E-3</v>
      </c>
      <c r="G26" s="334">
        <f t="shared" si="8"/>
        <v>12</v>
      </c>
      <c r="H26" s="156"/>
      <c r="I26" s="152"/>
      <c r="J26" s="153"/>
      <c r="K26" s="328"/>
      <c r="L26" s="331"/>
      <c r="M26" s="328"/>
      <c r="N26" s="340"/>
    </row>
    <row r="27" spans="1:14" s="157" customFormat="1" ht="17.25" customHeight="1">
      <c r="A27" s="342"/>
      <c r="B27" s="343" t="s">
        <v>248</v>
      </c>
      <c r="C27" s="153">
        <v>42</v>
      </c>
      <c r="D27" s="328">
        <f t="shared" si="6"/>
        <v>1.125703564727955E-2</v>
      </c>
      <c r="E27" s="331">
        <v>34</v>
      </c>
      <c r="F27" s="328">
        <f t="shared" si="7"/>
        <v>8.502125531382845E-3</v>
      </c>
      <c r="G27" s="334">
        <f t="shared" si="8"/>
        <v>8</v>
      </c>
      <c r="H27" s="158"/>
      <c r="I27" s="152"/>
      <c r="J27" s="153"/>
      <c r="K27" s="328"/>
      <c r="L27" s="331"/>
      <c r="M27" s="328"/>
      <c r="N27" s="340"/>
    </row>
    <row r="28" spans="1:14" s="157" customFormat="1" ht="17.25" customHeight="1">
      <c r="A28" s="342"/>
      <c r="B28" s="343" t="s">
        <v>249</v>
      </c>
      <c r="C28" s="153">
        <v>16</v>
      </c>
      <c r="D28" s="328">
        <f t="shared" si="6"/>
        <v>4.2883945322969713E-3</v>
      </c>
      <c r="E28" s="331">
        <v>21</v>
      </c>
      <c r="F28" s="328">
        <f t="shared" si="7"/>
        <v>5.2513128282070517E-3</v>
      </c>
      <c r="G28" s="334">
        <f t="shared" si="8"/>
        <v>-5</v>
      </c>
      <c r="H28" s="156"/>
      <c r="I28" s="152"/>
      <c r="J28" s="153"/>
      <c r="K28" s="328"/>
      <c r="L28" s="331"/>
      <c r="M28" s="328"/>
      <c r="N28" s="340"/>
    </row>
    <row r="29" spans="1:14" s="157" customFormat="1" ht="17.25" customHeight="1">
      <c r="A29" s="342"/>
      <c r="B29" s="343" t="s">
        <v>250</v>
      </c>
      <c r="C29" s="153">
        <v>50</v>
      </c>
      <c r="D29" s="328">
        <f t="shared" si="6"/>
        <v>1.3401232913428035E-2</v>
      </c>
      <c r="E29" s="331">
        <v>48</v>
      </c>
      <c r="F29" s="328">
        <f t="shared" si="7"/>
        <v>1.2003000750187547E-2</v>
      </c>
      <c r="G29" s="334">
        <f t="shared" si="8"/>
        <v>2</v>
      </c>
      <c r="H29" s="156"/>
      <c r="I29" s="140"/>
      <c r="J29" s="153"/>
      <c r="K29" s="328"/>
      <c r="L29" s="331"/>
      <c r="M29" s="328"/>
      <c r="N29" s="340"/>
    </row>
    <row r="30" spans="1:14" s="157" customFormat="1" ht="17.25" customHeight="1">
      <c r="A30" s="342"/>
      <c r="B30" s="343" t="s">
        <v>251</v>
      </c>
      <c r="C30" s="153">
        <v>21</v>
      </c>
      <c r="D30" s="328">
        <f t="shared" si="6"/>
        <v>5.6285178236397749E-3</v>
      </c>
      <c r="E30" s="331">
        <v>21</v>
      </c>
      <c r="F30" s="328">
        <f t="shared" si="7"/>
        <v>5.2513128282070517E-3</v>
      </c>
      <c r="G30" s="334">
        <f t="shared" si="8"/>
        <v>0</v>
      </c>
      <c r="H30" s="156"/>
      <c r="I30" s="152"/>
      <c r="J30" s="153"/>
      <c r="K30" s="328"/>
      <c r="L30" s="331"/>
      <c r="M30" s="328"/>
      <c r="N30" s="340"/>
    </row>
    <row r="31" spans="1:14" s="136" customFormat="1" ht="17.25" customHeight="1" thickBot="1">
      <c r="A31" s="345"/>
      <c r="B31" s="346" t="s">
        <v>252</v>
      </c>
      <c r="C31" s="631">
        <v>63</v>
      </c>
      <c r="D31" s="329">
        <f t="shared" si="6"/>
        <v>1.6885553470919325E-2</v>
      </c>
      <c r="E31" s="632">
        <v>96</v>
      </c>
      <c r="F31" s="329">
        <f t="shared" si="7"/>
        <v>2.4006001500375095E-2</v>
      </c>
      <c r="G31" s="335">
        <f t="shared" si="8"/>
        <v>-33</v>
      </c>
      <c r="H31" s="172"/>
      <c r="I31" s="173"/>
      <c r="J31" s="174"/>
      <c r="K31" s="336"/>
      <c r="L31" s="337"/>
      <c r="M31" s="336"/>
      <c r="N31" s="341"/>
    </row>
    <row r="32" spans="1:14" ht="13.5" customHeight="1">
      <c r="B32" s="16"/>
      <c r="C32" s="43"/>
      <c r="D32" s="150"/>
      <c r="E32" s="43"/>
      <c r="F32" s="150"/>
      <c r="G32" s="43"/>
      <c r="H32" s="43"/>
      <c r="I32" s="43"/>
      <c r="J32" s="43"/>
      <c r="K32" s="150"/>
      <c r="N32" s="18" t="s">
        <v>185</v>
      </c>
    </row>
    <row r="33" spans="1:16" ht="11.25" customHeight="1">
      <c r="B33" s="16"/>
      <c r="C33" s="43"/>
      <c r="D33" s="150"/>
      <c r="E33" s="43"/>
      <c r="F33" s="150"/>
      <c r="G33" s="43"/>
      <c r="H33" s="43"/>
      <c r="I33" s="43"/>
      <c r="J33" s="43"/>
      <c r="K33" s="150"/>
      <c r="L33" s="43"/>
      <c r="M33" s="150"/>
      <c r="N33" s="43"/>
    </row>
    <row r="34" spans="1:16" s="17" customFormat="1" ht="15.75" customHeight="1" thickBot="1">
      <c r="B34" s="325" t="s">
        <v>670</v>
      </c>
      <c r="D34" s="145"/>
      <c r="F34" s="145"/>
      <c r="K34" s="145"/>
      <c r="M34" s="145"/>
      <c r="N34" s="18" t="s">
        <v>207</v>
      </c>
    </row>
    <row r="35" spans="1:16" s="160" customFormat="1" ht="15.75" customHeight="1">
      <c r="A35" s="734" t="s">
        <v>537</v>
      </c>
      <c r="B35" s="702"/>
      <c r="C35" s="702"/>
      <c r="D35" s="702"/>
      <c r="E35" s="702"/>
      <c r="F35" s="702"/>
      <c r="G35" s="702"/>
      <c r="H35" s="684" t="s">
        <v>538</v>
      </c>
      <c r="I35" s="684"/>
      <c r="J35" s="684"/>
      <c r="K35" s="684"/>
      <c r="L35" s="684"/>
      <c r="M35" s="684"/>
      <c r="N35" s="762"/>
      <c r="P35" s="161"/>
    </row>
    <row r="36" spans="1:16" s="165" customFormat="1" ht="15.75" customHeight="1">
      <c r="A36" s="349"/>
      <c r="B36" s="164" t="s">
        <v>463</v>
      </c>
      <c r="C36" s="685" t="s">
        <v>464</v>
      </c>
      <c r="D36" s="685"/>
      <c r="E36" s="685" t="s">
        <v>465</v>
      </c>
      <c r="F36" s="685"/>
      <c r="G36" s="19" t="s">
        <v>209</v>
      </c>
      <c r="H36" s="19"/>
      <c r="I36" s="164" t="s">
        <v>463</v>
      </c>
      <c r="J36" s="685" t="s">
        <v>464</v>
      </c>
      <c r="K36" s="685"/>
      <c r="L36" s="685" t="s">
        <v>465</v>
      </c>
      <c r="M36" s="685"/>
      <c r="N36" s="350" t="s">
        <v>209</v>
      </c>
    </row>
    <row r="37" spans="1:16" s="162" customFormat="1" ht="16.5" customHeight="1">
      <c r="A37" s="760" t="s">
        <v>39</v>
      </c>
      <c r="B37" s="761"/>
      <c r="C37" s="765" t="s">
        <v>253</v>
      </c>
      <c r="D37" s="765"/>
      <c r="E37" s="763">
        <v>3731</v>
      </c>
      <c r="F37" s="763"/>
      <c r="G37" s="146">
        <f t="shared" ref="G37:G48" si="9">E37/$E$49*100</f>
        <v>65.825688073394488</v>
      </c>
      <c r="H37" s="764" t="s">
        <v>39</v>
      </c>
      <c r="I37" s="761"/>
      <c r="J37" s="765" t="s">
        <v>253</v>
      </c>
      <c r="K37" s="765"/>
      <c r="L37" s="763">
        <v>3999</v>
      </c>
      <c r="M37" s="763"/>
      <c r="N37" s="351">
        <f>L37/$L$49*100</f>
        <v>68.382352941176478</v>
      </c>
    </row>
    <row r="38" spans="1:16" s="162" customFormat="1" ht="16.5" customHeight="1">
      <c r="A38" s="766" t="s">
        <v>40</v>
      </c>
      <c r="B38" s="751"/>
      <c r="C38" s="747" t="s">
        <v>254</v>
      </c>
      <c r="D38" s="747"/>
      <c r="E38" s="752">
        <v>327</v>
      </c>
      <c r="F38" s="752"/>
      <c r="G38" s="146">
        <f t="shared" si="9"/>
        <v>5.7692307692307692</v>
      </c>
      <c r="H38" s="750" t="s">
        <v>40</v>
      </c>
      <c r="I38" s="751"/>
      <c r="J38" s="747" t="s">
        <v>254</v>
      </c>
      <c r="K38" s="747"/>
      <c r="L38" s="752">
        <v>318</v>
      </c>
      <c r="M38" s="752"/>
      <c r="N38" s="352">
        <f t="shared" ref="N38:N48" si="10">L38/$L$49*100</f>
        <v>5.4377564979480164</v>
      </c>
    </row>
    <row r="39" spans="1:16" s="162" customFormat="1" ht="16.5" customHeight="1">
      <c r="A39" s="766" t="s">
        <v>41</v>
      </c>
      <c r="B39" s="751"/>
      <c r="C39" s="747" t="s">
        <v>672</v>
      </c>
      <c r="D39" s="747"/>
      <c r="E39" s="752">
        <v>153</v>
      </c>
      <c r="F39" s="752"/>
      <c r="G39" s="146">
        <f t="shared" si="9"/>
        <v>2.6993648553281582</v>
      </c>
      <c r="H39" s="750" t="s">
        <v>41</v>
      </c>
      <c r="I39" s="751"/>
      <c r="J39" s="747" t="s">
        <v>457</v>
      </c>
      <c r="K39" s="747"/>
      <c r="L39" s="752">
        <v>168</v>
      </c>
      <c r="M39" s="752"/>
      <c r="N39" s="352">
        <f t="shared" si="10"/>
        <v>2.8727770177838576</v>
      </c>
    </row>
    <row r="40" spans="1:16" s="162" customFormat="1" ht="16.5" customHeight="1">
      <c r="A40" s="766" t="s">
        <v>42</v>
      </c>
      <c r="B40" s="751"/>
      <c r="C40" s="747" t="s">
        <v>673</v>
      </c>
      <c r="D40" s="747"/>
      <c r="E40" s="752">
        <v>149</v>
      </c>
      <c r="F40" s="752"/>
      <c r="G40" s="146">
        <f t="shared" si="9"/>
        <v>2.6287932251235007</v>
      </c>
      <c r="H40" s="750" t="s">
        <v>42</v>
      </c>
      <c r="I40" s="751"/>
      <c r="J40" s="747" t="s">
        <v>458</v>
      </c>
      <c r="K40" s="747"/>
      <c r="L40" s="752">
        <v>158</v>
      </c>
      <c r="M40" s="752"/>
      <c r="N40" s="352">
        <f t="shared" si="10"/>
        <v>2.7017783857729136</v>
      </c>
    </row>
    <row r="41" spans="1:16" s="162" customFormat="1" ht="16.5" customHeight="1">
      <c r="A41" s="766" t="s">
        <v>47</v>
      </c>
      <c r="B41" s="751"/>
      <c r="C41" s="747" t="s">
        <v>255</v>
      </c>
      <c r="D41" s="747"/>
      <c r="E41" s="752">
        <v>128</v>
      </c>
      <c r="F41" s="752"/>
      <c r="G41" s="146">
        <f t="shared" si="9"/>
        <v>2.2582921665490474</v>
      </c>
      <c r="H41" s="750" t="s">
        <v>47</v>
      </c>
      <c r="I41" s="751"/>
      <c r="J41" s="747" t="s">
        <v>255</v>
      </c>
      <c r="K41" s="747"/>
      <c r="L41" s="752">
        <v>143</v>
      </c>
      <c r="M41" s="752"/>
      <c r="N41" s="352">
        <f t="shared" si="10"/>
        <v>2.4452804377564981</v>
      </c>
    </row>
    <row r="42" spans="1:16" s="162" customFormat="1" ht="16.5" customHeight="1">
      <c r="A42" s="766" t="s">
        <v>678</v>
      </c>
      <c r="B42" s="751"/>
      <c r="C42" s="747" t="s">
        <v>674</v>
      </c>
      <c r="D42" s="747"/>
      <c r="E42" s="752">
        <v>110</v>
      </c>
      <c r="F42" s="752"/>
      <c r="G42" s="146">
        <f t="shared" si="9"/>
        <v>1.9407198306280877</v>
      </c>
      <c r="H42" s="750" t="s">
        <v>48</v>
      </c>
      <c r="I42" s="751"/>
      <c r="J42" s="747" t="s">
        <v>256</v>
      </c>
      <c r="K42" s="747"/>
      <c r="L42" s="752">
        <v>110</v>
      </c>
      <c r="M42" s="752"/>
      <c r="N42" s="352">
        <f t="shared" si="10"/>
        <v>1.880984952120383</v>
      </c>
    </row>
    <row r="43" spans="1:16" s="162" customFormat="1" ht="16.5" customHeight="1">
      <c r="A43" s="766" t="s">
        <v>49</v>
      </c>
      <c r="B43" s="751"/>
      <c r="C43" s="747" t="s">
        <v>675</v>
      </c>
      <c r="D43" s="747"/>
      <c r="E43" s="752">
        <v>107</v>
      </c>
      <c r="F43" s="752"/>
      <c r="G43" s="146">
        <f t="shared" si="9"/>
        <v>1.8877911079745944</v>
      </c>
      <c r="H43" s="750" t="s">
        <v>49</v>
      </c>
      <c r="I43" s="751"/>
      <c r="J43" s="747" t="s">
        <v>459</v>
      </c>
      <c r="K43" s="747"/>
      <c r="L43" s="752">
        <v>93</v>
      </c>
      <c r="M43" s="752"/>
      <c r="N43" s="352">
        <f t="shared" si="10"/>
        <v>1.5902872777017785</v>
      </c>
    </row>
    <row r="44" spans="1:16" s="162" customFormat="1" ht="16.5" customHeight="1">
      <c r="A44" s="766" t="s">
        <v>50</v>
      </c>
      <c r="B44" s="751"/>
      <c r="C44" s="747" t="s">
        <v>676</v>
      </c>
      <c r="D44" s="747"/>
      <c r="E44" s="752">
        <v>79</v>
      </c>
      <c r="F44" s="752"/>
      <c r="G44" s="146">
        <f t="shared" si="9"/>
        <v>1.3937896965419903</v>
      </c>
      <c r="H44" s="750" t="s">
        <v>50</v>
      </c>
      <c r="I44" s="751"/>
      <c r="J44" s="747" t="s">
        <v>460</v>
      </c>
      <c r="K44" s="747"/>
      <c r="L44" s="752">
        <v>75</v>
      </c>
      <c r="M44" s="752"/>
      <c r="N44" s="352">
        <f t="shared" si="10"/>
        <v>1.2824897400820794</v>
      </c>
    </row>
    <row r="45" spans="1:16" s="162" customFormat="1" ht="16.5" customHeight="1">
      <c r="A45" s="766" t="s">
        <v>51</v>
      </c>
      <c r="B45" s="751"/>
      <c r="C45" s="747" t="s">
        <v>461</v>
      </c>
      <c r="D45" s="747"/>
      <c r="E45" s="752">
        <v>51</v>
      </c>
      <c r="F45" s="752"/>
      <c r="G45" s="146">
        <f t="shared" si="9"/>
        <v>0.89978828510938613</v>
      </c>
      <c r="H45" s="750" t="s">
        <v>51</v>
      </c>
      <c r="I45" s="751"/>
      <c r="J45" s="747" t="s">
        <v>679</v>
      </c>
      <c r="K45" s="747"/>
      <c r="L45" s="752">
        <v>52</v>
      </c>
      <c r="M45" s="752"/>
      <c r="N45" s="352">
        <f t="shared" si="10"/>
        <v>0.8891928864569083</v>
      </c>
    </row>
    <row r="46" spans="1:16" s="162" customFormat="1" ht="16.5" customHeight="1">
      <c r="A46" s="766">
        <v>10</v>
      </c>
      <c r="B46" s="751"/>
      <c r="C46" s="747" t="s">
        <v>677</v>
      </c>
      <c r="D46" s="747"/>
      <c r="E46" s="752">
        <v>40</v>
      </c>
      <c r="F46" s="752"/>
      <c r="G46" s="146">
        <f t="shared" si="9"/>
        <v>0.70571630204657732</v>
      </c>
      <c r="H46" s="750">
        <v>10</v>
      </c>
      <c r="I46" s="751"/>
      <c r="J46" s="747" t="s">
        <v>461</v>
      </c>
      <c r="K46" s="747"/>
      <c r="L46" s="752">
        <v>51</v>
      </c>
      <c r="M46" s="752"/>
      <c r="N46" s="352">
        <f t="shared" si="10"/>
        <v>0.87209302325581395</v>
      </c>
    </row>
    <row r="47" spans="1:16" s="162" customFormat="1" ht="16.5" customHeight="1">
      <c r="A47" s="353"/>
      <c r="B47" s="141"/>
      <c r="C47" s="747" t="s">
        <v>257</v>
      </c>
      <c r="D47" s="747"/>
      <c r="E47" s="752">
        <v>312</v>
      </c>
      <c r="F47" s="752"/>
      <c r="G47" s="146">
        <f t="shared" si="9"/>
        <v>5.5045871559633035</v>
      </c>
      <c r="H47" s="142"/>
      <c r="I47" s="141"/>
      <c r="J47" s="747" t="s">
        <v>257</v>
      </c>
      <c r="K47" s="747"/>
      <c r="L47" s="752">
        <v>148</v>
      </c>
      <c r="M47" s="752"/>
      <c r="N47" s="352">
        <f t="shared" si="10"/>
        <v>2.5307797537619701</v>
      </c>
    </row>
    <row r="48" spans="1:16" s="162" customFormat="1" ht="16.5" customHeight="1">
      <c r="A48" s="354"/>
      <c r="B48" s="143"/>
      <c r="C48" s="748" t="s">
        <v>258</v>
      </c>
      <c r="D48" s="748"/>
      <c r="E48" s="749">
        <v>481</v>
      </c>
      <c r="F48" s="749"/>
      <c r="G48" s="147">
        <f t="shared" si="9"/>
        <v>8.486238532110093</v>
      </c>
      <c r="H48" s="144"/>
      <c r="I48" s="143"/>
      <c r="J48" s="748" t="s">
        <v>258</v>
      </c>
      <c r="K48" s="748"/>
      <c r="L48" s="749">
        <v>533</v>
      </c>
      <c r="M48" s="749"/>
      <c r="N48" s="355">
        <f t="shared" si="10"/>
        <v>9.1142270861833108</v>
      </c>
    </row>
    <row r="49" spans="1:14" s="160" customFormat="1" ht="16.5" customHeight="1" thickBot="1">
      <c r="A49" s="744" t="s">
        <v>466</v>
      </c>
      <c r="B49" s="745"/>
      <c r="C49" s="745"/>
      <c r="D49" s="745"/>
      <c r="E49" s="746">
        <f>SUM(E37:F48)</f>
        <v>5668</v>
      </c>
      <c r="F49" s="746"/>
      <c r="G49" s="356">
        <f>SUM(G37:G48)</f>
        <v>100</v>
      </c>
      <c r="H49" s="745" t="s">
        <v>466</v>
      </c>
      <c r="I49" s="745"/>
      <c r="J49" s="745"/>
      <c r="K49" s="745"/>
      <c r="L49" s="746">
        <f>SUM(L37:M48)</f>
        <v>5848</v>
      </c>
      <c r="M49" s="746"/>
      <c r="N49" s="357">
        <f>SUM(N37:N48)</f>
        <v>100.00000000000001</v>
      </c>
    </row>
    <row r="50" spans="1:14" s="17" customFormat="1" ht="13.5" customHeight="1">
      <c r="A50" s="148"/>
      <c r="B50" s="16" t="s">
        <v>259</v>
      </c>
      <c r="C50" s="17" t="s">
        <v>260</v>
      </c>
      <c r="D50" s="145"/>
      <c r="F50" s="145"/>
      <c r="K50" s="145"/>
      <c r="L50" s="16"/>
      <c r="M50" s="145"/>
      <c r="N50" s="18" t="s">
        <v>185</v>
      </c>
    </row>
  </sheetData>
  <sheetProtection selectLockedCells="1" selectUnlockedCells="1"/>
  <mergeCells count="84">
    <mergeCell ref="A39:B39"/>
    <mergeCell ref="A42:B42"/>
    <mergeCell ref="A41:B41"/>
    <mergeCell ref="A46:B46"/>
    <mergeCell ref="A45:B45"/>
    <mergeCell ref="A44:B44"/>
    <mergeCell ref="A43:B43"/>
    <mergeCell ref="A40:B40"/>
    <mergeCell ref="H37:I37"/>
    <mergeCell ref="C38:D38"/>
    <mergeCell ref="J38:K38"/>
    <mergeCell ref="L36:M36"/>
    <mergeCell ref="A35:G35"/>
    <mergeCell ref="E37:F37"/>
    <mergeCell ref="J37:K37"/>
    <mergeCell ref="H38:I38"/>
    <mergeCell ref="A38:B38"/>
    <mergeCell ref="C37:D37"/>
    <mergeCell ref="E38:F38"/>
    <mergeCell ref="H39:I39"/>
    <mergeCell ref="L39:M39"/>
    <mergeCell ref="J39:K39"/>
    <mergeCell ref="A2:I2"/>
    <mergeCell ref="A3:B3"/>
    <mergeCell ref="H3:I3"/>
    <mergeCell ref="H20:I20"/>
    <mergeCell ref="A4:B4"/>
    <mergeCell ref="A16:B16"/>
    <mergeCell ref="L38:M38"/>
    <mergeCell ref="A37:B37"/>
    <mergeCell ref="H35:N35"/>
    <mergeCell ref="C36:D36"/>
    <mergeCell ref="E36:F36"/>
    <mergeCell ref="J36:K36"/>
    <mergeCell ref="L37:M37"/>
    <mergeCell ref="E40:F40"/>
    <mergeCell ref="C39:D39"/>
    <mergeCell ref="E39:F39"/>
    <mergeCell ref="C42:D42"/>
    <mergeCell ref="C41:D41"/>
    <mergeCell ref="E41:F41"/>
    <mergeCell ref="C40:D40"/>
    <mergeCell ref="L41:M41"/>
    <mergeCell ref="J40:K40"/>
    <mergeCell ref="L40:M40"/>
    <mergeCell ref="C44:D44"/>
    <mergeCell ref="E44:F44"/>
    <mergeCell ref="H44:I44"/>
    <mergeCell ref="H41:I41"/>
    <mergeCell ref="H40:I40"/>
    <mergeCell ref="H42:I42"/>
    <mergeCell ref="E43:F43"/>
    <mergeCell ref="L43:M43"/>
    <mergeCell ref="J44:K44"/>
    <mergeCell ref="L44:M44"/>
    <mergeCell ref="J42:K42"/>
    <mergeCell ref="L42:M42"/>
    <mergeCell ref="J41:K41"/>
    <mergeCell ref="H43:I43"/>
    <mergeCell ref="E42:F42"/>
    <mergeCell ref="L46:M46"/>
    <mergeCell ref="J47:K47"/>
    <mergeCell ref="C45:D45"/>
    <mergeCell ref="E45:F45"/>
    <mergeCell ref="L47:M47"/>
    <mergeCell ref="C47:D47"/>
    <mergeCell ref="E47:F47"/>
    <mergeCell ref="J43:K43"/>
    <mergeCell ref="L45:M45"/>
    <mergeCell ref="C43:D43"/>
    <mergeCell ref="H46:I46"/>
    <mergeCell ref="H45:I45"/>
    <mergeCell ref="C46:D46"/>
    <mergeCell ref="E46:F46"/>
    <mergeCell ref="J45:K45"/>
    <mergeCell ref="J48:K48"/>
    <mergeCell ref="L48:M48"/>
    <mergeCell ref="C48:D48"/>
    <mergeCell ref="E48:F48"/>
    <mergeCell ref="A49:D49"/>
    <mergeCell ref="E49:F49"/>
    <mergeCell ref="H49:K49"/>
    <mergeCell ref="L49:M49"/>
    <mergeCell ref="J46:K46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&amp;R&amp;"ＭＳ 明朝,標準"&amp;10人　口</oddHeader>
    <oddFooter>&amp;C&amp;"ＭＳ 明朝,標準"－45－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W53"/>
  <sheetViews>
    <sheetView view="pageBreakPreview" topLeftCell="A46" zoomScaleNormal="100" zoomScaleSheetLayoutView="100" workbookViewId="0">
      <selection activeCell="O7" sqref="O7:P7"/>
    </sheetView>
  </sheetViews>
  <sheetFormatPr defaultRowHeight="15" customHeight="1"/>
  <cols>
    <col min="1" max="1" width="1.25" style="55" customWidth="1"/>
    <col min="2" max="2" width="8.375" style="55" customWidth="1"/>
    <col min="3" max="3" width="5" style="55" customWidth="1"/>
    <col min="4" max="4" width="1.25" style="55" customWidth="1"/>
    <col min="5" max="11" width="9.5" style="55" customWidth="1"/>
    <col min="12" max="12" width="9.5" style="56" customWidth="1"/>
    <col min="13" max="13" width="0.875" style="55" customWidth="1"/>
    <col min="14" max="14" width="11.125" style="55" customWidth="1"/>
    <col min="15" max="15" width="9.5" style="55" customWidth="1"/>
    <col min="16" max="16" width="9.625" style="55" customWidth="1"/>
    <col min="17" max="17" width="9.5" style="55" customWidth="1"/>
    <col min="18" max="19" width="4.625" style="55" customWidth="1"/>
    <col min="20" max="22" width="9.875" style="55" customWidth="1"/>
    <col min="23" max="23" width="12.75" style="55" customWidth="1"/>
    <col min="24" max="24" width="15" style="55" customWidth="1"/>
    <col min="25" max="16384" width="9" style="55"/>
  </cols>
  <sheetData>
    <row r="1" spans="1:23" ht="4.5" customHeight="1">
      <c r="A1" s="57"/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23" ht="15" customHeight="1">
      <c r="A2" s="57" t="s">
        <v>261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3" ht="5.0999999999999996" customHeight="1">
      <c r="A3" s="57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23" s="60" customFormat="1" ht="84" customHeight="1">
      <c r="A4" s="797" t="s">
        <v>577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N4" s="797" t="s">
        <v>583</v>
      </c>
      <c r="O4" s="797"/>
      <c r="P4" s="797"/>
      <c r="Q4" s="797"/>
      <c r="R4" s="797"/>
      <c r="S4" s="797"/>
      <c r="T4" s="797"/>
      <c r="U4" s="797"/>
      <c r="V4" s="797"/>
      <c r="W4" s="797"/>
    </row>
    <row r="5" spans="1:23" ht="10.5" customHeight="1">
      <c r="A5" s="798"/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61"/>
      <c r="N5" s="799"/>
      <c r="O5" s="799"/>
      <c r="P5" s="799"/>
      <c r="Q5" s="799"/>
      <c r="R5" s="799"/>
      <c r="S5" s="799"/>
      <c r="T5" s="799"/>
      <c r="U5" s="799"/>
      <c r="V5" s="799"/>
      <c r="W5" s="799"/>
    </row>
    <row r="6" spans="1:23" ht="15" customHeight="1" thickBot="1">
      <c r="B6" s="5" t="s">
        <v>262</v>
      </c>
      <c r="C6" s="5"/>
      <c r="D6" s="5"/>
      <c r="E6" s="62"/>
      <c r="F6" s="62"/>
      <c r="G6" s="62"/>
      <c r="I6" s="62"/>
      <c r="K6" s="62"/>
      <c r="L6" s="63"/>
      <c r="N6" s="5" t="s">
        <v>263</v>
      </c>
    </row>
    <row r="7" spans="1:23" ht="15" customHeight="1">
      <c r="A7" s="783" t="s">
        <v>264</v>
      </c>
      <c r="B7" s="784"/>
      <c r="C7" s="784"/>
      <c r="D7" s="784"/>
      <c r="E7" s="784" t="s">
        <v>265</v>
      </c>
      <c r="F7" s="784"/>
      <c r="G7" s="784" t="s">
        <v>266</v>
      </c>
      <c r="H7" s="784"/>
      <c r="I7" s="784" t="s">
        <v>267</v>
      </c>
      <c r="J7" s="784"/>
      <c r="K7" s="784"/>
      <c r="L7" s="789"/>
      <c r="M7" s="56"/>
      <c r="N7" s="223" t="s">
        <v>268</v>
      </c>
      <c r="O7" s="801" t="s">
        <v>269</v>
      </c>
      <c r="P7" s="801"/>
      <c r="Q7" s="784" t="s">
        <v>270</v>
      </c>
      <c r="R7" s="784"/>
      <c r="S7" s="784"/>
      <c r="T7" s="784"/>
      <c r="U7" s="735" t="s">
        <v>271</v>
      </c>
      <c r="V7" s="802"/>
      <c r="W7" s="81"/>
    </row>
    <row r="8" spans="1:23" ht="15" customHeight="1">
      <c r="A8" s="785"/>
      <c r="B8" s="781"/>
      <c r="C8" s="781"/>
      <c r="D8" s="781"/>
      <c r="E8" s="781"/>
      <c r="F8" s="781"/>
      <c r="G8" s="781"/>
      <c r="H8" s="781"/>
      <c r="I8" s="805" t="s">
        <v>22</v>
      </c>
      <c r="J8" s="805"/>
      <c r="K8" s="4" t="s">
        <v>23</v>
      </c>
      <c r="L8" s="219" t="s">
        <v>24</v>
      </c>
      <c r="M8" s="37"/>
      <c r="N8" s="218" t="s">
        <v>27</v>
      </c>
      <c r="O8" s="19" t="s">
        <v>272</v>
      </c>
      <c r="P8" s="19" t="s">
        <v>273</v>
      </c>
      <c r="Q8" s="10" t="s">
        <v>27</v>
      </c>
      <c r="R8" s="685" t="s">
        <v>28</v>
      </c>
      <c r="S8" s="685"/>
      <c r="T8" s="19" t="s">
        <v>274</v>
      </c>
      <c r="U8" s="10" t="s">
        <v>27</v>
      </c>
      <c r="V8" s="350" t="s">
        <v>28</v>
      </c>
    </row>
    <row r="9" spans="1:23" ht="15" customHeight="1">
      <c r="A9" s="220"/>
      <c r="B9" s="777" t="s">
        <v>253</v>
      </c>
      <c r="C9" s="777"/>
      <c r="D9" s="37"/>
      <c r="E9" s="779">
        <v>2276.15</v>
      </c>
      <c r="F9" s="779"/>
      <c r="G9" s="803">
        <v>520191</v>
      </c>
      <c r="H9" s="803"/>
      <c r="I9" s="803">
        <f>+K9+L9</f>
        <v>1392818</v>
      </c>
      <c r="J9" s="803"/>
      <c r="K9" s="3">
        <v>683328</v>
      </c>
      <c r="L9" s="321">
        <v>709490</v>
      </c>
      <c r="M9" s="56"/>
      <c r="N9" s="224">
        <v>1361594</v>
      </c>
      <c r="O9" s="378">
        <f>I9-N9</f>
        <v>31224</v>
      </c>
      <c r="P9" s="379">
        <f>O9/N9*100</f>
        <v>2.2931945939832286</v>
      </c>
      <c r="Q9" s="65">
        <v>1000</v>
      </c>
      <c r="R9" s="804">
        <f>(I9/1392818)*1000</f>
        <v>1000</v>
      </c>
      <c r="S9" s="804"/>
      <c r="T9" s="386">
        <v>0</v>
      </c>
      <c r="U9" s="66">
        <v>598.6</v>
      </c>
      <c r="V9" s="390">
        <v>611.9</v>
      </c>
      <c r="W9" s="400"/>
    </row>
    <row r="10" spans="1:23" ht="15" customHeight="1">
      <c r="A10" s="220"/>
      <c r="B10" s="777" t="s">
        <v>213</v>
      </c>
      <c r="C10" s="777"/>
      <c r="D10" s="37"/>
      <c r="E10" s="779">
        <v>39.24</v>
      </c>
      <c r="F10" s="779"/>
      <c r="G10" s="780">
        <v>129512</v>
      </c>
      <c r="H10" s="780"/>
      <c r="I10" s="780">
        <f t="shared" ref="I10:I23" si="0">+K10+L10</f>
        <v>315954</v>
      </c>
      <c r="J10" s="780"/>
      <c r="K10" s="3">
        <v>151848</v>
      </c>
      <c r="L10" s="321">
        <v>164106</v>
      </c>
      <c r="M10" s="56"/>
      <c r="N10" s="225">
        <v>312393</v>
      </c>
      <c r="O10" s="380">
        <f t="shared" ref="O10:O23" si="1">I10-N10</f>
        <v>3561</v>
      </c>
      <c r="P10" s="381">
        <f t="shared" ref="P10:P23" si="2">O10/N10*100</f>
        <v>1.1399103052885309</v>
      </c>
      <c r="Q10" s="67">
        <v>229.4</v>
      </c>
      <c r="R10" s="791">
        <f>(I10/1392818)*1000</f>
        <v>226.84514416097437</v>
      </c>
      <c r="S10" s="791"/>
      <c r="T10" s="387">
        <f>R10-Q10</f>
        <v>-2.5548558390256346</v>
      </c>
      <c r="U10" s="68">
        <v>8001.9</v>
      </c>
      <c r="V10" s="391">
        <v>8051.8</v>
      </c>
    </row>
    <row r="11" spans="1:23" ht="15" customHeight="1">
      <c r="A11" s="220"/>
      <c r="B11" s="777" t="s">
        <v>215</v>
      </c>
      <c r="C11" s="777"/>
      <c r="D11" s="37"/>
      <c r="E11" s="779">
        <v>86.08</v>
      </c>
      <c r="F11" s="779"/>
      <c r="G11" s="780">
        <v>38344</v>
      </c>
      <c r="H11" s="780"/>
      <c r="I11" s="780">
        <f t="shared" si="0"/>
        <v>116979</v>
      </c>
      <c r="J11" s="780"/>
      <c r="K11" s="3">
        <v>58198</v>
      </c>
      <c r="L11" s="321">
        <v>58781</v>
      </c>
      <c r="M11" s="56"/>
      <c r="N11" s="225">
        <v>113535</v>
      </c>
      <c r="O11" s="380">
        <f t="shared" si="1"/>
        <v>3444</v>
      </c>
      <c r="P11" s="381">
        <f t="shared" si="2"/>
        <v>3.0334258158277181</v>
      </c>
      <c r="Q11" s="67">
        <v>83.4</v>
      </c>
      <c r="R11" s="791">
        <f>(I11/1392818)*1000</f>
        <v>83.987283334936791</v>
      </c>
      <c r="S11" s="791"/>
      <c r="T11" s="387">
        <f>R11-Q11</f>
        <v>0.5872833349367852</v>
      </c>
      <c r="U11" s="69">
        <v>1320</v>
      </c>
      <c r="V11" s="391">
        <v>1359</v>
      </c>
    </row>
    <row r="12" spans="1:23" ht="15" customHeight="1">
      <c r="A12" s="220"/>
      <c r="B12" s="777" t="s">
        <v>219</v>
      </c>
      <c r="C12" s="777"/>
      <c r="D12" s="37"/>
      <c r="E12" s="779">
        <v>19.7</v>
      </c>
      <c r="F12" s="779"/>
      <c r="G12" s="780">
        <v>36361</v>
      </c>
      <c r="H12" s="780"/>
      <c r="I12" s="780">
        <f t="shared" si="0"/>
        <v>91928</v>
      </c>
      <c r="J12" s="780"/>
      <c r="K12" s="3">
        <v>44720</v>
      </c>
      <c r="L12" s="321">
        <v>47208</v>
      </c>
      <c r="M12" s="56"/>
      <c r="N12" s="225">
        <v>89769</v>
      </c>
      <c r="O12" s="380">
        <f>I12-N12</f>
        <v>2159</v>
      </c>
      <c r="P12" s="381">
        <f t="shared" si="2"/>
        <v>2.4050618810502513</v>
      </c>
      <c r="Q12" s="67">
        <v>65.900000000000006</v>
      </c>
      <c r="R12" s="791">
        <f t="shared" ref="R12:R23" si="3">(I12/1392818)*1000</f>
        <v>66.001444553416164</v>
      </c>
      <c r="S12" s="791"/>
      <c r="T12" s="387">
        <f t="shared" ref="T12:T22" si="4">R12-Q12</f>
        <v>0.1014445534161581</v>
      </c>
      <c r="U12" s="68">
        <v>4559.1000000000004</v>
      </c>
      <c r="V12" s="391">
        <v>4666.3999999999996</v>
      </c>
    </row>
    <row r="13" spans="1:23" ht="15" customHeight="1">
      <c r="A13" s="220"/>
      <c r="B13" s="777" t="s">
        <v>217</v>
      </c>
      <c r="C13" s="777"/>
      <c r="D13" s="37"/>
      <c r="E13" s="779">
        <v>204.57</v>
      </c>
      <c r="F13" s="779"/>
      <c r="G13" s="780">
        <v>21196</v>
      </c>
      <c r="H13" s="780"/>
      <c r="I13" s="780">
        <f t="shared" si="0"/>
        <v>52039</v>
      </c>
      <c r="J13" s="780"/>
      <c r="K13" s="3">
        <v>25502</v>
      </c>
      <c r="L13" s="321">
        <v>26537</v>
      </c>
      <c r="M13" s="56"/>
      <c r="N13" s="225">
        <v>53493</v>
      </c>
      <c r="O13" s="382">
        <f t="shared" si="1"/>
        <v>-1454</v>
      </c>
      <c r="P13" s="383">
        <f t="shared" si="2"/>
        <v>-2.7181126502533042</v>
      </c>
      <c r="Q13" s="67">
        <v>39.299999999999997</v>
      </c>
      <c r="R13" s="791">
        <f t="shared" si="3"/>
        <v>37.362383312105386</v>
      </c>
      <c r="S13" s="791"/>
      <c r="T13" s="387">
        <f t="shared" si="4"/>
        <v>-1.9376166878946108</v>
      </c>
      <c r="U13" s="69">
        <v>261.60000000000002</v>
      </c>
      <c r="V13" s="391">
        <v>254.4</v>
      </c>
    </row>
    <row r="14" spans="1:23" ht="15" customHeight="1">
      <c r="A14" s="220"/>
      <c r="B14" s="777" t="s">
        <v>223</v>
      </c>
      <c r="C14" s="777"/>
      <c r="D14" s="37"/>
      <c r="E14" s="779">
        <v>229</v>
      </c>
      <c r="F14" s="779"/>
      <c r="G14" s="780">
        <v>19212</v>
      </c>
      <c r="H14" s="780"/>
      <c r="I14" s="780">
        <f t="shared" si="0"/>
        <v>46922</v>
      </c>
      <c r="J14" s="780"/>
      <c r="K14" s="3">
        <v>23310</v>
      </c>
      <c r="L14" s="321">
        <v>23612</v>
      </c>
      <c r="M14" s="56"/>
      <c r="N14" s="225">
        <v>45183</v>
      </c>
      <c r="O14" s="380">
        <f t="shared" si="1"/>
        <v>1739</v>
      </c>
      <c r="P14" s="381">
        <f t="shared" si="2"/>
        <v>3.8487926875152159</v>
      </c>
      <c r="Q14" s="67">
        <v>33.200000000000003</v>
      </c>
      <c r="R14" s="791">
        <f t="shared" si="3"/>
        <v>33.688536477845638</v>
      </c>
      <c r="S14" s="791"/>
      <c r="T14" s="387">
        <f t="shared" si="4"/>
        <v>0.48853647784563492</v>
      </c>
      <c r="U14" s="68">
        <v>197.4</v>
      </c>
      <c r="V14" s="391">
        <v>204.9</v>
      </c>
    </row>
    <row r="15" spans="1:23" ht="15" customHeight="1">
      <c r="A15" s="220"/>
      <c r="B15" s="774" t="s">
        <v>275</v>
      </c>
      <c r="C15" s="774"/>
      <c r="D15" s="54"/>
      <c r="E15" s="800">
        <v>19.09</v>
      </c>
      <c r="F15" s="800"/>
      <c r="G15" s="796">
        <v>40927</v>
      </c>
      <c r="H15" s="796"/>
      <c r="I15" s="796">
        <f t="shared" si="0"/>
        <v>110351</v>
      </c>
      <c r="J15" s="796"/>
      <c r="K15" s="40">
        <v>53948</v>
      </c>
      <c r="L15" s="376">
        <v>56403</v>
      </c>
      <c r="M15" s="56"/>
      <c r="N15" s="226">
        <v>106049</v>
      </c>
      <c r="O15" s="384">
        <f t="shared" si="1"/>
        <v>4302</v>
      </c>
      <c r="P15" s="381">
        <f t="shared" si="2"/>
        <v>4.0566153381927217</v>
      </c>
      <c r="Q15" s="72">
        <v>77.900000000000006</v>
      </c>
      <c r="R15" s="795">
        <f t="shared" si="3"/>
        <v>79.228585500761767</v>
      </c>
      <c r="S15" s="795"/>
      <c r="T15" s="388">
        <f t="shared" si="4"/>
        <v>1.3285855007617613</v>
      </c>
      <c r="U15" s="73">
        <v>5555.2</v>
      </c>
      <c r="V15" s="392">
        <v>5780.6</v>
      </c>
    </row>
    <row r="16" spans="1:23" ht="15" customHeight="1">
      <c r="A16" s="220"/>
      <c r="B16" s="777" t="s">
        <v>225</v>
      </c>
      <c r="C16" s="777"/>
      <c r="D16" s="37"/>
      <c r="E16" s="779">
        <v>210.37</v>
      </c>
      <c r="F16" s="779"/>
      <c r="G16" s="780">
        <v>24277</v>
      </c>
      <c r="H16" s="780"/>
      <c r="I16" s="780">
        <f t="shared" si="0"/>
        <v>60231</v>
      </c>
      <c r="J16" s="780"/>
      <c r="K16" s="3">
        <v>30036</v>
      </c>
      <c r="L16" s="321">
        <v>30195</v>
      </c>
      <c r="M16" s="56"/>
      <c r="N16" s="225">
        <v>59463</v>
      </c>
      <c r="O16" s="380">
        <f t="shared" si="1"/>
        <v>768</v>
      </c>
      <c r="P16" s="381">
        <f t="shared" si="2"/>
        <v>1.2915594571414157</v>
      </c>
      <c r="Q16" s="67">
        <v>43.7</v>
      </c>
      <c r="R16" s="791">
        <f t="shared" si="3"/>
        <v>43.243984497615628</v>
      </c>
      <c r="S16" s="791"/>
      <c r="T16" s="387">
        <f t="shared" si="4"/>
        <v>-0.45601550238437483</v>
      </c>
      <c r="U16" s="68">
        <v>282.8</v>
      </c>
      <c r="V16" s="391">
        <v>286.3</v>
      </c>
    </row>
    <row r="17" spans="1:23" ht="15" customHeight="1">
      <c r="A17" s="220"/>
      <c r="B17" s="777" t="s">
        <v>227</v>
      </c>
      <c r="C17" s="777"/>
      <c r="D17" s="37"/>
      <c r="E17" s="779">
        <v>46.63</v>
      </c>
      <c r="F17" s="779"/>
      <c r="G17" s="780">
        <v>19249</v>
      </c>
      <c r="H17" s="780"/>
      <c r="I17" s="780">
        <f t="shared" si="0"/>
        <v>57320</v>
      </c>
      <c r="J17" s="780"/>
      <c r="K17" s="3">
        <v>28739</v>
      </c>
      <c r="L17" s="321">
        <v>28581</v>
      </c>
      <c r="M17" s="56"/>
      <c r="N17" s="225">
        <v>55816</v>
      </c>
      <c r="O17" s="380">
        <f t="shared" si="1"/>
        <v>1504</v>
      </c>
      <c r="P17" s="381">
        <f t="shared" si="2"/>
        <v>2.694567865844919</v>
      </c>
      <c r="Q17" s="67">
        <v>41</v>
      </c>
      <c r="R17" s="791">
        <f t="shared" si="3"/>
        <v>41.153977045098493</v>
      </c>
      <c r="S17" s="791"/>
      <c r="T17" s="387">
        <f t="shared" si="4"/>
        <v>0.15397704509849319</v>
      </c>
      <c r="U17" s="68">
        <v>1197</v>
      </c>
      <c r="V17" s="391">
        <v>1229.3</v>
      </c>
    </row>
    <row r="18" spans="1:23" ht="15" customHeight="1">
      <c r="A18" s="220"/>
      <c r="B18" s="777" t="s">
        <v>229</v>
      </c>
      <c r="C18" s="777"/>
      <c r="D18" s="37"/>
      <c r="E18" s="779">
        <v>49</v>
      </c>
      <c r="F18" s="779"/>
      <c r="G18" s="780">
        <v>47999</v>
      </c>
      <c r="H18" s="780"/>
      <c r="I18" s="780">
        <f t="shared" si="0"/>
        <v>130249</v>
      </c>
      <c r="J18" s="780"/>
      <c r="K18" s="3">
        <v>63195</v>
      </c>
      <c r="L18" s="321">
        <v>67054</v>
      </c>
      <c r="M18" s="56"/>
      <c r="N18" s="225">
        <v>126400</v>
      </c>
      <c r="O18" s="380">
        <f t="shared" si="1"/>
        <v>3849</v>
      </c>
      <c r="P18" s="381">
        <f t="shared" si="2"/>
        <v>3.0450949367088609</v>
      </c>
      <c r="Q18" s="67">
        <v>92.8</v>
      </c>
      <c r="R18" s="791">
        <f t="shared" si="3"/>
        <v>93.51473056781289</v>
      </c>
      <c r="S18" s="791"/>
      <c r="T18" s="387">
        <f t="shared" si="4"/>
        <v>0.71473056781289301</v>
      </c>
      <c r="U18" s="68">
        <v>2579.6</v>
      </c>
      <c r="V18" s="391">
        <v>2658.1</v>
      </c>
    </row>
    <row r="19" spans="1:23" ht="15" customHeight="1">
      <c r="A19" s="220"/>
      <c r="B19" s="777" t="s">
        <v>231</v>
      </c>
      <c r="C19" s="777"/>
      <c r="D19" s="37"/>
      <c r="E19" s="779">
        <v>19.45</v>
      </c>
      <c r="F19" s="779"/>
      <c r="G19" s="780">
        <v>19332</v>
      </c>
      <c r="H19" s="780"/>
      <c r="I19" s="780">
        <f t="shared" si="0"/>
        <v>57261</v>
      </c>
      <c r="J19" s="780"/>
      <c r="K19" s="3">
        <v>27860</v>
      </c>
      <c r="L19" s="321">
        <v>29401</v>
      </c>
      <c r="M19" s="56"/>
      <c r="N19" s="225">
        <v>52516</v>
      </c>
      <c r="O19" s="380">
        <f>I19-N19</f>
        <v>4745</v>
      </c>
      <c r="P19" s="381">
        <f t="shared" si="2"/>
        <v>9.0353416101759461</v>
      </c>
      <c r="Q19" s="67">
        <v>39.6</v>
      </c>
      <c r="R19" s="791">
        <f t="shared" si="3"/>
        <v>41.111616880310279</v>
      </c>
      <c r="S19" s="791"/>
      <c r="T19" s="387">
        <f t="shared" si="4"/>
        <v>1.5116168803102781</v>
      </c>
      <c r="U19" s="68">
        <v>2700.1</v>
      </c>
      <c r="V19" s="391">
        <v>2944</v>
      </c>
    </row>
    <row r="20" spans="1:23" ht="15" customHeight="1">
      <c r="A20" s="220"/>
      <c r="B20" s="777" t="s">
        <v>581</v>
      </c>
      <c r="C20" s="777"/>
      <c r="D20" s="37"/>
      <c r="E20" s="793">
        <v>49.77</v>
      </c>
      <c r="F20" s="794"/>
      <c r="G20" s="788">
        <v>12676</v>
      </c>
      <c r="H20" s="788"/>
      <c r="I20" s="780">
        <f>+K20+L20</f>
        <v>39758</v>
      </c>
      <c r="J20" s="780"/>
      <c r="K20" s="3">
        <v>20070</v>
      </c>
      <c r="L20" s="321">
        <v>19688</v>
      </c>
      <c r="M20" s="56"/>
      <c r="N20" s="394" t="s">
        <v>527</v>
      </c>
      <c r="O20" s="395" t="s">
        <v>527</v>
      </c>
      <c r="P20" s="395" t="s">
        <v>527</v>
      </c>
      <c r="Q20" s="395" t="s">
        <v>527</v>
      </c>
      <c r="R20" s="791">
        <f>(I20/1392818)*1000</f>
        <v>28.545007316103035</v>
      </c>
      <c r="S20" s="791"/>
      <c r="T20" s="395" t="s">
        <v>527</v>
      </c>
      <c r="U20" s="395" t="s">
        <v>527</v>
      </c>
      <c r="V20" s="375">
        <v>798.8</v>
      </c>
    </row>
    <row r="21" spans="1:23" ht="15" customHeight="1">
      <c r="A21" s="220"/>
      <c r="B21" s="777" t="s">
        <v>211</v>
      </c>
      <c r="C21" s="777"/>
      <c r="D21" s="37"/>
      <c r="E21" s="779">
        <v>15.84</v>
      </c>
      <c r="F21" s="779"/>
      <c r="G21" s="780">
        <v>12118</v>
      </c>
      <c r="H21" s="780"/>
      <c r="I21" s="780">
        <f t="shared" si="0"/>
        <v>34766</v>
      </c>
      <c r="J21" s="780"/>
      <c r="K21" s="3">
        <v>17328</v>
      </c>
      <c r="L21" s="321">
        <v>17438</v>
      </c>
      <c r="M21" s="56"/>
      <c r="N21" s="225">
        <v>33733</v>
      </c>
      <c r="O21" s="380">
        <f t="shared" si="1"/>
        <v>1033</v>
      </c>
      <c r="P21" s="381">
        <f t="shared" si="2"/>
        <v>3.0622832241425311</v>
      </c>
      <c r="Q21" s="67">
        <v>24.8</v>
      </c>
      <c r="R21" s="791">
        <f t="shared" si="3"/>
        <v>24.960906593682736</v>
      </c>
      <c r="S21" s="791"/>
      <c r="T21" s="387">
        <f t="shared" si="4"/>
        <v>0.16090659368273563</v>
      </c>
      <c r="U21" s="68">
        <v>2129.6</v>
      </c>
      <c r="V21" s="391">
        <v>2194.8000000000002</v>
      </c>
    </row>
    <row r="22" spans="1:23" ht="15" customHeight="1">
      <c r="A22" s="220"/>
      <c r="B22" s="777" t="s">
        <v>578</v>
      </c>
      <c r="C22" s="777"/>
      <c r="D22" s="37"/>
      <c r="E22" s="779">
        <v>5.08</v>
      </c>
      <c r="F22" s="779"/>
      <c r="G22" s="780">
        <v>5805</v>
      </c>
      <c r="H22" s="780"/>
      <c r="I22" s="780">
        <f t="shared" si="0"/>
        <v>16318</v>
      </c>
      <c r="J22" s="780"/>
      <c r="K22" s="3">
        <v>7868</v>
      </c>
      <c r="L22" s="321">
        <v>8450</v>
      </c>
      <c r="M22" s="56"/>
      <c r="N22" s="225">
        <v>15343</v>
      </c>
      <c r="O22" s="380">
        <f t="shared" si="1"/>
        <v>975</v>
      </c>
      <c r="P22" s="381">
        <f t="shared" si="2"/>
        <v>6.354689434921462</v>
      </c>
      <c r="Q22" s="67">
        <v>11.3</v>
      </c>
      <c r="R22" s="791">
        <f t="shared" si="3"/>
        <v>11.715816423969247</v>
      </c>
      <c r="S22" s="791"/>
      <c r="T22" s="387">
        <f t="shared" si="4"/>
        <v>0.41581642396924678</v>
      </c>
      <c r="U22" s="68">
        <v>3150.5</v>
      </c>
      <c r="V22" s="391">
        <v>3212.2</v>
      </c>
    </row>
    <row r="23" spans="1:23" ht="15" customHeight="1" thickBot="1">
      <c r="A23" s="222"/>
      <c r="B23" s="773" t="s">
        <v>216</v>
      </c>
      <c r="C23" s="773"/>
      <c r="D23" s="215"/>
      <c r="E23" s="792">
        <v>10.72</v>
      </c>
      <c r="F23" s="792"/>
      <c r="G23" s="787">
        <v>11254</v>
      </c>
      <c r="H23" s="787"/>
      <c r="I23" s="787">
        <f t="shared" si="0"/>
        <v>35244</v>
      </c>
      <c r="J23" s="787"/>
      <c r="K23" s="296">
        <v>17358</v>
      </c>
      <c r="L23" s="377">
        <v>17886</v>
      </c>
      <c r="M23" s="56"/>
      <c r="N23" s="227">
        <v>33537</v>
      </c>
      <c r="O23" s="385">
        <f t="shared" si="1"/>
        <v>1707</v>
      </c>
      <c r="P23" s="383">
        <f t="shared" si="2"/>
        <v>5.0899007066821715</v>
      </c>
      <c r="Q23" s="228">
        <v>24.6</v>
      </c>
      <c r="R23" s="790">
        <f t="shared" si="3"/>
        <v>25.304095725356795</v>
      </c>
      <c r="S23" s="790"/>
      <c r="T23" s="389">
        <f>R23-Q23</f>
        <v>0.70409572535679388</v>
      </c>
      <c r="U23" s="229">
        <v>3128.5</v>
      </c>
      <c r="V23" s="393">
        <v>3287.7</v>
      </c>
    </row>
    <row r="24" spans="1:23" ht="15" customHeight="1">
      <c r="B24" s="782" t="s">
        <v>644</v>
      </c>
      <c r="C24" s="782"/>
      <c r="D24" s="782"/>
      <c r="E24" s="782"/>
      <c r="F24" s="782"/>
      <c r="G24" s="782"/>
      <c r="H24" s="782"/>
      <c r="I24" s="782"/>
      <c r="J24" s="782"/>
      <c r="K24" s="62"/>
      <c r="L24" s="63"/>
      <c r="M24" s="56"/>
      <c r="N24" s="62"/>
      <c r="O24" s="62"/>
      <c r="P24" s="371"/>
      <c r="Q24" s="62"/>
      <c r="R24" s="778"/>
      <c r="S24" s="778"/>
      <c r="T24" s="62"/>
      <c r="U24" s="7"/>
      <c r="V24" s="7" t="s">
        <v>276</v>
      </c>
      <c r="W24" s="7"/>
    </row>
    <row r="25" spans="1:23" ht="15" customHeight="1">
      <c r="B25" s="5" t="s">
        <v>580</v>
      </c>
      <c r="C25" s="5"/>
      <c r="D25" s="5"/>
      <c r="E25" s="62"/>
      <c r="F25" s="62"/>
      <c r="G25" s="62"/>
      <c r="H25" s="62"/>
      <c r="I25" s="62"/>
      <c r="J25" s="62"/>
      <c r="K25" s="62"/>
      <c r="L25" s="63"/>
      <c r="M25" s="5"/>
      <c r="N25" s="62"/>
      <c r="O25" s="62"/>
      <c r="P25" s="62"/>
      <c r="Q25" s="62"/>
      <c r="R25" s="62"/>
      <c r="S25" s="62"/>
      <c r="T25" s="62"/>
      <c r="U25" s="62"/>
      <c r="V25" s="62"/>
      <c r="W25" s="7"/>
    </row>
    <row r="26" spans="1:23" ht="15" customHeight="1">
      <c r="B26" s="5" t="s">
        <v>579</v>
      </c>
      <c r="C26" s="5"/>
      <c r="D26" s="5"/>
      <c r="E26" s="5"/>
      <c r="F26" s="5"/>
      <c r="G26" s="5"/>
      <c r="H26" s="5"/>
      <c r="I26" s="5"/>
      <c r="J26" s="5"/>
      <c r="K26" s="5"/>
      <c r="L26" s="63"/>
      <c r="M26" s="5"/>
      <c r="N26" s="62"/>
      <c r="O26" s="62"/>
      <c r="P26" s="62"/>
      <c r="Q26" s="62"/>
      <c r="R26" s="62"/>
      <c r="S26" s="62"/>
      <c r="T26" s="62"/>
      <c r="U26" s="62"/>
      <c r="V26" s="62"/>
      <c r="W26" s="62"/>
    </row>
    <row r="27" spans="1:23" ht="15" customHeight="1">
      <c r="B27" s="786" t="s">
        <v>582</v>
      </c>
      <c r="C27" s="786"/>
      <c r="D27" s="786"/>
      <c r="E27" s="786"/>
      <c r="F27" s="786"/>
      <c r="G27" s="786"/>
      <c r="H27" s="786"/>
      <c r="I27" s="786"/>
      <c r="J27" s="786"/>
      <c r="K27" s="62"/>
      <c r="L27" s="63"/>
      <c r="M27" s="5"/>
      <c r="N27" s="62"/>
      <c r="O27" s="62"/>
      <c r="P27" s="62"/>
      <c r="Q27" s="62"/>
      <c r="R27" s="62"/>
      <c r="S27" s="62"/>
      <c r="T27" s="62"/>
      <c r="U27" s="62"/>
      <c r="V27" s="62"/>
      <c r="W27" s="62"/>
    </row>
    <row r="28" spans="1:23" ht="11.25" customHeight="1">
      <c r="B28" s="786"/>
      <c r="C28" s="786"/>
      <c r="D28" s="786"/>
      <c r="E28" s="786"/>
      <c r="F28" s="786"/>
      <c r="G28" s="786"/>
      <c r="H28" s="786"/>
      <c r="I28" s="786"/>
      <c r="J28" s="786"/>
      <c r="K28" s="786"/>
      <c r="L28" s="63"/>
      <c r="M28" s="5"/>
      <c r="N28" s="62"/>
      <c r="O28" s="62"/>
      <c r="P28" s="62"/>
      <c r="Q28" s="62"/>
      <c r="R28" s="62"/>
      <c r="S28" s="62"/>
      <c r="T28" s="62"/>
      <c r="U28" s="62"/>
      <c r="V28" s="62"/>
      <c r="W28" s="62"/>
    </row>
    <row r="29" spans="1:23" ht="15" customHeight="1" thickBot="1">
      <c r="B29" s="5" t="s">
        <v>277</v>
      </c>
      <c r="C29" s="5"/>
      <c r="D29" s="5"/>
      <c r="E29" s="62"/>
      <c r="F29" s="62"/>
      <c r="G29" s="62"/>
      <c r="H29" s="62"/>
      <c r="I29" s="62"/>
      <c r="J29" s="62"/>
      <c r="K29" s="62"/>
      <c r="L29" s="63"/>
      <c r="M29" s="5"/>
      <c r="N29" s="5" t="s">
        <v>278</v>
      </c>
      <c r="O29" s="62"/>
      <c r="P29" s="62"/>
      <c r="Q29" s="62"/>
      <c r="R29" s="62"/>
      <c r="S29" s="62"/>
      <c r="T29" s="62"/>
      <c r="U29" s="62"/>
      <c r="V29" s="62"/>
      <c r="W29" s="62"/>
    </row>
    <row r="30" spans="1:23" ht="15" customHeight="1">
      <c r="A30" s="783" t="s">
        <v>264</v>
      </c>
      <c r="B30" s="784"/>
      <c r="C30" s="784"/>
      <c r="D30" s="784"/>
      <c r="E30" s="784" t="s">
        <v>279</v>
      </c>
      <c r="F30" s="784"/>
      <c r="G30" s="784"/>
      <c r="H30" s="784"/>
      <c r="I30" s="784" t="s">
        <v>280</v>
      </c>
      <c r="J30" s="784"/>
      <c r="K30" s="784"/>
      <c r="L30" s="789"/>
      <c r="M30" s="81"/>
      <c r="N30" s="783" t="s">
        <v>208</v>
      </c>
      <c r="O30" s="784" t="s">
        <v>281</v>
      </c>
      <c r="P30" s="784"/>
      <c r="Q30" s="784"/>
      <c r="R30" s="784"/>
      <c r="S30" s="784"/>
      <c r="T30" s="784" t="s">
        <v>282</v>
      </c>
      <c r="U30" s="784"/>
      <c r="V30" s="784"/>
      <c r="W30" s="789"/>
    </row>
    <row r="31" spans="1:23" ht="15" customHeight="1">
      <c r="A31" s="785"/>
      <c r="B31" s="781"/>
      <c r="C31" s="781"/>
      <c r="D31" s="781"/>
      <c r="E31" s="10" t="s">
        <v>189</v>
      </c>
      <c r="F31" s="10" t="s">
        <v>192</v>
      </c>
      <c r="G31" s="10" t="s">
        <v>195</v>
      </c>
      <c r="H31" s="10" t="s">
        <v>283</v>
      </c>
      <c r="I31" s="10" t="s">
        <v>189</v>
      </c>
      <c r="J31" s="10" t="s">
        <v>192</v>
      </c>
      <c r="K31" s="10" t="s">
        <v>195</v>
      </c>
      <c r="L31" s="219" t="s">
        <v>283</v>
      </c>
      <c r="M31" s="75"/>
      <c r="N31" s="785"/>
      <c r="O31" s="4" t="s">
        <v>189</v>
      </c>
      <c r="P31" s="4" t="s">
        <v>192</v>
      </c>
      <c r="Q31" s="4" t="s">
        <v>195</v>
      </c>
      <c r="R31" s="781" t="s">
        <v>283</v>
      </c>
      <c r="S31" s="781"/>
      <c r="T31" s="4" t="s">
        <v>189</v>
      </c>
      <c r="U31" s="4" t="s">
        <v>192</v>
      </c>
      <c r="V31" s="4" t="s">
        <v>195</v>
      </c>
      <c r="W31" s="219" t="s">
        <v>283</v>
      </c>
    </row>
    <row r="32" spans="1:23" ht="15" customHeight="1">
      <c r="A32" s="220"/>
      <c r="B32" s="777" t="s">
        <v>253</v>
      </c>
      <c r="C32" s="777"/>
      <c r="D32" s="37"/>
      <c r="E32" s="76">
        <f t="shared" ref="E32:E46" si="5">F32+G32</f>
        <v>51042</v>
      </c>
      <c r="F32" s="77">
        <v>52580</v>
      </c>
      <c r="G32" s="78">
        <v>-1538</v>
      </c>
      <c r="H32" s="237" t="s">
        <v>284</v>
      </c>
      <c r="I32" s="77">
        <f t="shared" ref="I32:I46" si="6">J32+K32</f>
        <v>44780</v>
      </c>
      <c r="J32" s="78">
        <v>46455</v>
      </c>
      <c r="K32" s="79">
        <v>-1675</v>
      </c>
      <c r="L32" s="234" t="s">
        <v>284</v>
      </c>
      <c r="M32" s="52"/>
      <c r="N32" s="188" t="s">
        <v>253</v>
      </c>
      <c r="O32" s="78">
        <f t="shared" ref="O32:O46" si="7">+P32+Q32</f>
        <v>43374</v>
      </c>
      <c r="P32" s="78">
        <v>41051</v>
      </c>
      <c r="Q32" s="79">
        <v>2323</v>
      </c>
      <c r="R32" s="770" t="s">
        <v>285</v>
      </c>
      <c r="S32" s="771"/>
      <c r="T32" s="474">
        <f>I9-N9</f>
        <v>31224</v>
      </c>
      <c r="U32" s="382">
        <v>35842</v>
      </c>
      <c r="V32" s="397">
        <f>+T32-U32</f>
        <v>-4618</v>
      </c>
      <c r="W32" s="476" t="s">
        <v>5</v>
      </c>
    </row>
    <row r="33" spans="1:23" ht="15" customHeight="1">
      <c r="A33" s="220"/>
      <c r="B33" s="777" t="s">
        <v>213</v>
      </c>
      <c r="C33" s="777"/>
      <c r="D33" s="37"/>
      <c r="E33" s="80">
        <f t="shared" si="5"/>
        <v>-2946</v>
      </c>
      <c r="F33" s="70">
        <v>11540</v>
      </c>
      <c r="G33" s="79">
        <v>-14486</v>
      </c>
      <c r="H33" s="238" t="s">
        <v>514</v>
      </c>
      <c r="I33" s="70">
        <f t="shared" si="6"/>
        <v>-858</v>
      </c>
      <c r="J33" s="79">
        <v>8797</v>
      </c>
      <c r="K33" s="79">
        <v>-9655</v>
      </c>
      <c r="L33" s="234" t="s">
        <v>513</v>
      </c>
      <c r="M33" s="52"/>
      <c r="N33" s="189" t="s">
        <v>213</v>
      </c>
      <c r="O33" s="79">
        <f t="shared" si="7"/>
        <v>11361</v>
      </c>
      <c r="P33" s="79">
        <v>7680</v>
      </c>
      <c r="Q33" s="79">
        <v>3681</v>
      </c>
      <c r="R33" s="770" t="s">
        <v>285</v>
      </c>
      <c r="S33" s="771"/>
      <c r="T33" s="382">
        <f>I10-N10</f>
        <v>3561</v>
      </c>
      <c r="U33" s="382">
        <v>6363</v>
      </c>
      <c r="V33" s="397">
        <f>+T33-U33</f>
        <v>-2802</v>
      </c>
      <c r="W33" s="476" t="s">
        <v>5</v>
      </c>
    </row>
    <row r="34" spans="1:23" ht="15" customHeight="1">
      <c r="A34" s="220"/>
      <c r="B34" s="777" t="s">
        <v>286</v>
      </c>
      <c r="C34" s="777"/>
      <c r="D34" s="37"/>
      <c r="E34" s="80">
        <f t="shared" si="5"/>
        <v>1075</v>
      </c>
      <c r="F34" s="70">
        <v>878</v>
      </c>
      <c r="G34" s="70">
        <v>197</v>
      </c>
      <c r="H34" s="238" t="s">
        <v>285</v>
      </c>
      <c r="I34" s="70">
        <f t="shared" si="6"/>
        <v>184</v>
      </c>
      <c r="J34" s="79">
        <v>748</v>
      </c>
      <c r="K34" s="79">
        <v>-564</v>
      </c>
      <c r="L34" s="234" t="s">
        <v>284</v>
      </c>
      <c r="M34" s="52"/>
      <c r="N34" s="189" t="s">
        <v>215</v>
      </c>
      <c r="O34" s="79">
        <f t="shared" si="7"/>
        <v>3543</v>
      </c>
      <c r="P34" s="79">
        <v>3229</v>
      </c>
      <c r="Q34" s="79">
        <v>314</v>
      </c>
      <c r="R34" s="770" t="s">
        <v>285</v>
      </c>
      <c r="S34" s="771"/>
      <c r="T34" s="382">
        <f>I11-N11</f>
        <v>3444</v>
      </c>
      <c r="U34" s="382">
        <v>2563</v>
      </c>
      <c r="V34" s="382">
        <f>+T34-U34</f>
        <v>881</v>
      </c>
      <c r="W34" s="476" t="s">
        <v>8</v>
      </c>
    </row>
    <row r="35" spans="1:23" ht="15" customHeight="1">
      <c r="A35" s="220"/>
      <c r="B35" s="777" t="s">
        <v>287</v>
      </c>
      <c r="C35" s="777"/>
      <c r="D35" s="37"/>
      <c r="E35" s="80">
        <f t="shared" si="5"/>
        <v>3151</v>
      </c>
      <c r="F35" s="70">
        <v>2429</v>
      </c>
      <c r="G35" s="70">
        <v>722</v>
      </c>
      <c r="H35" s="238" t="s">
        <v>285</v>
      </c>
      <c r="I35" s="70">
        <f t="shared" si="6"/>
        <v>3892</v>
      </c>
      <c r="J35" s="79">
        <v>2369</v>
      </c>
      <c r="K35" s="79">
        <v>1523</v>
      </c>
      <c r="L35" s="234" t="s">
        <v>285</v>
      </c>
      <c r="M35" s="81"/>
      <c r="N35" s="189"/>
      <c r="O35" s="79"/>
      <c r="P35" s="79"/>
      <c r="Q35" s="79"/>
      <c r="R35" s="184"/>
      <c r="S35" s="184"/>
      <c r="T35" s="382"/>
      <c r="U35" s="382"/>
      <c r="V35" s="382"/>
      <c r="W35" s="476"/>
    </row>
    <row r="36" spans="1:23" ht="15" customHeight="1">
      <c r="A36" s="220"/>
      <c r="B36" s="777" t="s">
        <v>219</v>
      </c>
      <c r="C36" s="777"/>
      <c r="D36" s="37"/>
      <c r="E36" s="80">
        <f t="shared" si="5"/>
        <v>6957</v>
      </c>
      <c r="F36" s="70">
        <v>4923</v>
      </c>
      <c r="G36" s="70">
        <v>2034</v>
      </c>
      <c r="H36" s="238" t="s">
        <v>285</v>
      </c>
      <c r="I36" s="70">
        <f t="shared" si="6"/>
        <v>3882</v>
      </c>
      <c r="J36" s="79">
        <v>4710</v>
      </c>
      <c r="K36" s="79">
        <v>-828</v>
      </c>
      <c r="L36" s="234" t="s">
        <v>284</v>
      </c>
      <c r="M36" s="52"/>
      <c r="N36" s="189" t="s">
        <v>219</v>
      </c>
      <c r="O36" s="79">
        <f t="shared" si="7"/>
        <v>3025</v>
      </c>
      <c r="P36" s="79">
        <v>4112</v>
      </c>
      <c r="Q36" s="79">
        <v>-1087</v>
      </c>
      <c r="R36" s="770" t="s">
        <v>284</v>
      </c>
      <c r="S36" s="771"/>
      <c r="T36" s="382">
        <f t="shared" ref="T36:T43" si="8">I12-N12</f>
        <v>2159</v>
      </c>
      <c r="U36" s="397">
        <v>3924</v>
      </c>
      <c r="V36" s="397">
        <f t="shared" ref="V36:V46" si="9">+T36-U36</f>
        <v>-1765</v>
      </c>
      <c r="W36" s="476" t="s">
        <v>5</v>
      </c>
    </row>
    <row r="37" spans="1:23" ht="15" customHeight="1">
      <c r="A37" s="220"/>
      <c r="B37" s="777" t="s">
        <v>288</v>
      </c>
      <c r="C37" s="777"/>
      <c r="D37" s="37"/>
      <c r="E37" s="80">
        <f t="shared" si="5"/>
        <v>496</v>
      </c>
      <c r="F37" s="70">
        <v>1156</v>
      </c>
      <c r="G37" s="79">
        <v>-660</v>
      </c>
      <c r="H37" s="238" t="s">
        <v>284</v>
      </c>
      <c r="I37" s="70">
        <f t="shared" si="6"/>
        <v>606</v>
      </c>
      <c r="J37" s="79">
        <v>959</v>
      </c>
      <c r="K37" s="79">
        <v>-353</v>
      </c>
      <c r="L37" s="234" t="s">
        <v>284</v>
      </c>
      <c r="M37" s="52"/>
      <c r="N37" s="189" t="s">
        <v>217</v>
      </c>
      <c r="O37" s="79">
        <f t="shared" si="7"/>
        <v>-756</v>
      </c>
      <c r="P37" s="79">
        <v>434</v>
      </c>
      <c r="Q37" s="79">
        <v>-1190</v>
      </c>
      <c r="R37" s="770" t="s">
        <v>6</v>
      </c>
      <c r="S37" s="771"/>
      <c r="T37" s="382">
        <f t="shared" si="8"/>
        <v>-1454</v>
      </c>
      <c r="U37" s="397">
        <v>117</v>
      </c>
      <c r="V37" s="397">
        <f t="shared" si="9"/>
        <v>-1571</v>
      </c>
      <c r="W37" s="476" t="s">
        <v>6</v>
      </c>
    </row>
    <row r="38" spans="1:23" ht="15" customHeight="1">
      <c r="A38" s="220"/>
      <c r="B38" s="777" t="s">
        <v>223</v>
      </c>
      <c r="C38" s="777"/>
      <c r="D38" s="37"/>
      <c r="E38" s="80">
        <f t="shared" si="5"/>
        <v>532</v>
      </c>
      <c r="F38" s="70">
        <v>1767</v>
      </c>
      <c r="G38" s="79">
        <v>-1235</v>
      </c>
      <c r="H38" s="238" t="s">
        <v>284</v>
      </c>
      <c r="I38" s="70">
        <f t="shared" si="6"/>
        <v>1525</v>
      </c>
      <c r="J38" s="79">
        <v>1441</v>
      </c>
      <c r="K38" s="79">
        <v>84</v>
      </c>
      <c r="L38" s="234" t="s">
        <v>285</v>
      </c>
      <c r="M38" s="52"/>
      <c r="N38" s="189" t="s">
        <v>223</v>
      </c>
      <c r="O38" s="79">
        <f t="shared" si="7"/>
        <v>1881</v>
      </c>
      <c r="P38" s="79">
        <v>1254</v>
      </c>
      <c r="Q38" s="79">
        <v>627</v>
      </c>
      <c r="R38" s="770" t="s">
        <v>285</v>
      </c>
      <c r="S38" s="771"/>
      <c r="T38" s="382">
        <f t="shared" si="8"/>
        <v>1739</v>
      </c>
      <c r="U38" s="397">
        <v>1506</v>
      </c>
      <c r="V38" s="397">
        <f t="shared" si="9"/>
        <v>233</v>
      </c>
      <c r="W38" s="476" t="s">
        <v>285</v>
      </c>
    </row>
    <row r="39" spans="1:23" ht="15" customHeight="1">
      <c r="A39" s="220"/>
      <c r="B39" s="774" t="s">
        <v>275</v>
      </c>
      <c r="C39" s="774"/>
      <c r="D39" s="54"/>
      <c r="E39" s="82">
        <f t="shared" si="5"/>
        <v>6008</v>
      </c>
      <c r="F39" s="83">
        <v>6501</v>
      </c>
      <c r="G39" s="83">
        <v>-493</v>
      </c>
      <c r="H39" s="239" t="s">
        <v>284</v>
      </c>
      <c r="I39" s="83">
        <f t="shared" si="6"/>
        <v>6732</v>
      </c>
      <c r="J39" s="84">
        <v>6416</v>
      </c>
      <c r="K39" s="84">
        <v>316</v>
      </c>
      <c r="L39" s="235" t="s">
        <v>285</v>
      </c>
      <c r="M39" s="53"/>
      <c r="N39" s="190" t="s">
        <v>275</v>
      </c>
      <c r="O39" s="84">
        <f t="shared" si="7"/>
        <v>3315</v>
      </c>
      <c r="P39" s="84">
        <v>5585</v>
      </c>
      <c r="Q39" s="84">
        <v>-2270</v>
      </c>
      <c r="R39" s="775" t="s">
        <v>284</v>
      </c>
      <c r="S39" s="776"/>
      <c r="T39" s="382">
        <f t="shared" si="8"/>
        <v>4302</v>
      </c>
      <c r="U39" s="398">
        <v>4781</v>
      </c>
      <c r="V39" s="398">
        <f t="shared" si="9"/>
        <v>-479</v>
      </c>
      <c r="W39" s="477" t="s">
        <v>5</v>
      </c>
    </row>
    <row r="40" spans="1:23" ht="15" customHeight="1">
      <c r="A40" s="220"/>
      <c r="B40" s="777" t="s">
        <v>225</v>
      </c>
      <c r="C40" s="777"/>
      <c r="D40" s="37"/>
      <c r="E40" s="80">
        <f t="shared" si="5"/>
        <v>2801</v>
      </c>
      <c r="F40" s="70">
        <v>2081</v>
      </c>
      <c r="G40" s="70">
        <v>720</v>
      </c>
      <c r="H40" s="238" t="s">
        <v>285</v>
      </c>
      <c r="I40" s="70">
        <f t="shared" si="6"/>
        <v>2651</v>
      </c>
      <c r="J40" s="79">
        <v>1815</v>
      </c>
      <c r="K40" s="79">
        <v>836</v>
      </c>
      <c r="L40" s="234" t="s">
        <v>285</v>
      </c>
      <c r="M40" s="52"/>
      <c r="N40" s="189" t="s">
        <v>225</v>
      </c>
      <c r="O40" s="79">
        <f t="shared" si="7"/>
        <v>2857</v>
      </c>
      <c r="P40" s="79">
        <v>1688</v>
      </c>
      <c r="Q40" s="79">
        <v>1169</v>
      </c>
      <c r="R40" s="770" t="s">
        <v>285</v>
      </c>
      <c r="S40" s="771"/>
      <c r="T40" s="382">
        <f t="shared" si="8"/>
        <v>768</v>
      </c>
      <c r="U40" s="397">
        <v>1685</v>
      </c>
      <c r="V40" s="397">
        <f t="shared" si="9"/>
        <v>-917</v>
      </c>
      <c r="W40" s="476" t="s">
        <v>5</v>
      </c>
    </row>
    <row r="41" spans="1:23" ht="15" customHeight="1">
      <c r="A41" s="220"/>
      <c r="B41" s="777" t="s">
        <v>227</v>
      </c>
      <c r="C41" s="777"/>
      <c r="D41" s="37"/>
      <c r="E41" s="80">
        <f t="shared" si="5"/>
        <v>3860</v>
      </c>
      <c r="F41" s="70">
        <v>2320</v>
      </c>
      <c r="G41" s="70">
        <v>1540</v>
      </c>
      <c r="H41" s="238" t="s">
        <v>285</v>
      </c>
      <c r="I41" s="70">
        <f t="shared" si="6"/>
        <v>1478</v>
      </c>
      <c r="J41" s="79">
        <v>2041</v>
      </c>
      <c r="K41" s="79">
        <v>-563</v>
      </c>
      <c r="L41" s="234" t="s">
        <v>284</v>
      </c>
      <c r="M41" s="52"/>
      <c r="N41" s="189" t="s">
        <v>227</v>
      </c>
      <c r="O41" s="79">
        <f t="shared" si="7"/>
        <v>842</v>
      </c>
      <c r="P41" s="79">
        <v>1584</v>
      </c>
      <c r="Q41" s="79">
        <v>-742</v>
      </c>
      <c r="R41" s="770" t="s">
        <v>284</v>
      </c>
      <c r="S41" s="771"/>
      <c r="T41" s="382">
        <f t="shared" si="8"/>
        <v>1504</v>
      </c>
      <c r="U41" s="397">
        <v>1457</v>
      </c>
      <c r="V41" s="397">
        <f t="shared" si="9"/>
        <v>47</v>
      </c>
      <c r="W41" s="476" t="s">
        <v>8</v>
      </c>
    </row>
    <row r="42" spans="1:23" ht="15" customHeight="1">
      <c r="A42" s="220"/>
      <c r="B42" s="777" t="s">
        <v>229</v>
      </c>
      <c r="C42" s="777"/>
      <c r="D42" s="37"/>
      <c r="E42" s="80">
        <f t="shared" si="5"/>
        <v>9491</v>
      </c>
      <c r="F42" s="70">
        <v>5902</v>
      </c>
      <c r="G42" s="79">
        <v>3589</v>
      </c>
      <c r="H42" s="238" t="s">
        <v>285</v>
      </c>
      <c r="I42" s="70">
        <f t="shared" si="6"/>
        <v>4350</v>
      </c>
      <c r="J42" s="79">
        <v>5722</v>
      </c>
      <c r="K42" s="79">
        <v>-1372</v>
      </c>
      <c r="L42" s="234" t="s">
        <v>284</v>
      </c>
      <c r="M42" s="52"/>
      <c r="N42" s="189" t="s">
        <v>229</v>
      </c>
      <c r="O42" s="79">
        <f t="shared" si="7"/>
        <v>6714</v>
      </c>
      <c r="P42" s="79">
        <v>5426</v>
      </c>
      <c r="Q42" s="79">
        <v>1288</v>
      </c>
      <c r="R42" s="770" t="s">
        <v>285</v>
      </c>
      <c r="S42" s="771"/>
      <c r="T42" s="382">
        <f t="shared" si="8"/>
        <v>3849</v>
      </c>
      <c r="U42" s="397">
        <v>4852</v>
      </c>
      <c r="V42" s="397">
        <f t="shared" si="9"/>
        <v>-1003</v>
      </c>
      <c r="W42" s="476" t="s">
        <v>5</v>
      </c>
    </row>
    <row r="43" spans="1:23" ht="15" customHeight="1">
      <c r="A43" s="220"/>
      <c r="B43" s="777" t="s">
        <v>211</v>
      </c>
      <c r="C43" s="777"/>
      <c r="D43" s="37"/>
      <c r="E43" s="80">
        <f t="shared" si="5"/>
        <v>3027</v>
      </c>
      <c r="F43" s="70">
        <v>1401</v>
      </c>
      <c r="G43" s="70">
        <v>1626</v>
      </c>
      <c r="H43" s="238" t="s">
        <v>289</v>
      </c>
      <c r="I43" s="70">
        <f t="shared" si="6"/>
        <v>4261</v>
      </c>
      <c r="J43" s="79">
        <v>1449</v>
      </c>
      <c r="K43" s="79">
        <v>2812</v>
      </c>
      <c r="L43" s="234" t="s">
        <v>289</v>
      </c>
      <c r="M43" s="52"/>
      <c r="N43" s="189" t="s">
        <v>231</v>
      </c>
      <c r="O43" s="79">
        <f t="shared" si="7"/>
        <v>2318</v>
      </c>
      <c r="P43" s="79">
        <v>2541</v>
      </c>
      <c r="Q43" s="79">
        <v>-223</v>
      </c>
      <c r="R43" s="770" t="s">
        <v>284</v>
      </c>
      <c r="S43" s="771"/>
      <c r="T43" s="382">
        <f t="shared" si="8"/>
        <v>4745</v>
      </c>
      <c r="U43" s="397">
        <v>2724</v>
      </c>
      <c r="V43" s="397">
        <f t="shared" si="9"/>
        <v>2021</v>
      </c>
      <c r="W43" s="476" t="s">
        <v>285</v>
      </c>
    </row>
    <row r="44" spans="1:23" ht="15" customHeight="1">
      <c r="A44" s="220"/>
      <c r="B44" s="777" t="s">
        <v>290</v>
      </c>
      <c r="C44" s="777"/>
      <c r="D44" s="37"/>
      <c r="E44" s="80">
        <f t="shared" si="5"/>
        <v>4476</v>
      </c>
      <c r="F44" s="70">
        <v>2466</v>
      </c>
      <c r="G44" s="70">
        <v>2010</v>
      </c>
      <c r="H44" s="238" t="s">
        <v>285</v>
      </c>
      <c r="I44" s="70">
        <f t="shared" si="6"/>
        <v>4945</v>
      </c>
      <c r="J44" s="79">
        <v>2659</v>
      </c>
      <c r="K44" s="79">
        <v>2286</v>
      </c>
      <c r="L44" s="234" t="s">
        <v>285</v>
      </c>
      <c r="M44" s="52"/>
      <c r="N44" s="189" t="s">
        <v>211</v>
      </c>
      <c r="O44" s="79">
        <f t="shared" si="7"/>
        <v>956</v>
      </c>
      <c r="P44" s="79">
        <v>1356</v>
      </c>
      <c r="Q44" s="79">
        <v>-400</v>
      </c>
      <c r="R44" s="770" t="s">
        <v>284</v>
      </c>
      <c r="S44" s="771"/>
      <c r="T44" s="382">
        <f>I21-N21</f>
        <v>1033</v>
      </c>
      <c r="U44" s="397">
        <v>1131</v>
      </c>
      <c r="V44" s="397">
        <f t="shared" si="9"/>
        <v>-98</v>
      </c>
      <c r="W44" s="476" t="s">
        <v>5</v>
      </c>
    </row>
    <row r="45" spans="1:23" ht="15" customHeight="1">
      <c r="A45" s="220"/>
      <c r="B45" s="777" t="s">
        <v>212</v>
      </c>
      <c r="C45" s="777"/>
      <c r="D45" s="37"/>
      <c r="E45" s="80">
        <f t="shared" si="5"/>
        <v>841</v>
      </c>
      <c r="F45" s="70">
        <v>631</v>
      </c>
      <c r="G45" s="79">
        <v>210</v>
      </c>
      <c r="H45" s="238" t="s">
        <v>285</v>
      </c>
      <c r="I45" s="70">
        <f t="shared" si="6"/>
        <v>259</v>
      </c>
      <c r="J45" s="79">
        <v>518</v>
      </c>
      <c r="K45" s="79">
        <v>-259</v>
      </c>
      <c r="L45" s="234" t="s">
        <v>284</v>
      </c>
      <c r="M45" s="52"/>
      <c r="N45" s="189" t="s">
        <v>212</v>
      </c>
      <c r="O45" s="79">
        <f t="shared" si="7"/>
        <v>234</v>
      </c>
      <c r="P45" s="79">
        <v>415</v>
      </c>
      <c r="Q45" s="79">
        <v>-181</v>
      </c>
      <c r="R45" s="770" t="s">
        <v>284</v>
      </c>
      <c r="S45" s="771"/>
      <c r="T45" s="382">
        <f>I22-N22</f>
        <v>975</v>
      </c>
      <c r="U45" s="397">
        <v>379</v>
      </c>
      <c r="V45" s="397">
        <f t="shared" si="9"/>
        <v>596</v>
      </c>
      <c r="W45" s="476" t="s">
        <v>7</v>
      </c>
    </row>
    <row r="46" spans="1:23" ht="15" customHeight="1" thickBot="1">
      <c r="A46" s="222"/>
      <c r="B46" s="773" t="s">
        <v>216</v>
      </c>
      <c r="C46" s="773"/>
      <c r="D46" s="215"/>
      <c r="E46" s="232">
        <f t="shared" si="5"/>
        <v>1633</v>
      </c>
      <c r="F46" s="230">
        <v>1819</v>
      </c>
      <c r="G46" s="230">
        <v>-186</v>
      </c>
      <c r="H46" s="240" t="s">
        <v>284</v>
      </c>
      <c r="I46" s="230">
        <f t="shared" si="6"/>
        <v>1850</v>
      </c>
      <c r="J46" s="231">
        <v>1628</v>
      </c>
      <c r="K46" s="231">
        <v>222</v>
      </c>
      <c r="L46" s="236" t="s">
        <v>285</v>
      </c>
      <c r="M46" s="441"/>
      <c r="N46" s="241" t="s">
        <v>216</v>
      </c>
      <c r="O46" s="231">
        <f t="shared" si="7"/>
        <v>1438</v>
      </c>
      <c r="P46" s="231">
        <v>1580</v>
      </c>
      <c r="Q46" s="231">
        <v>-142</v>
      </c>
      <c r="R46" s="768" t="s">
        <v>284</v>
      </c>
      <c r="S46" s="769"/>
      <c r="T46" s="475">
        <f>I23-N23</f>
        <v>1707</v>
      </c>
      <c r="U46" s="399">
        <v>1577</v>
      </c>
      <c r="V46" s="399">
        <f t="shared" si="9"/>
        <v>130</v>
      </c>
      <c r="W46" s="478" t="s">
        <v>285</v>
      </c>
    </row>
    <row r="47" spans="1:23" ht="15" customHeight="1">
      <c r="A47" s="56"/>
      <c r="B47" s="37" t="s">
        <v>291</v>
      </c>
      <c r="C47" s="52"/>
      <c r="D47" s="37"/>
      <c r="E47" s="70"/>
      <c r="F47" s="70"/>
      <c r="G47" s="70"/>
      <c r="H47" s="81"/>
      <c r="I47" s="70"/>
      <c r="J47" s="70"/>
      <c r="K47" s="70"/>
      <c r="L47" s="81"/>
      <c r="M47" s="56"/>
      <c r="N47" s="79"/>
      <c r="O47" s="79"/>
      <c r="P47" s="79"/>
      <c r="Q47" s="81"/>
      <c r="R47" s="81"/>
      <c r="S47" s="81"/>
      <c r="T47" s="70"/>
      <c r="U47" s="70"/>
      <c r="V47" s="79"/>
      <c r="W47" s="7" t="s">
        <v>276</v>
      </c>
    </row>
    <row r="48" spans="1:23" ht="15" customHeight="1">
      <c r="B48" s="5" t="s">
        <v>292</v>
      </c>
      <c r="C48" s="5"/>
      <c r="D48" s="5"/>
      <c r="E48" s="62"/>
      <c r="F48" s="62"/>
      <c r="G48" s="62"/>
      <c r="H48" s="62"/>
      <c r="I48" s="62"/>
      <c r="J48" s="62"/>
      <c r="K48" s="62"/>
      <c r="L48" s="63"/>
      <c r="M48" s="5" t="s">
        <v>293</v>
      </c>
      <c r="N48" s="62"/>
      <c r="O48" s="62"/>
      <c r="P48" s="62"/>
      <c r="Q48" s="62"/>
      <c r="R48" s="62"/>
      <c r="S48" s="62"/>
      <c r="T48" s="62"/>
      <c r="U48" s="62"/>
      <c r="V48" s="62"/>
    </row>
    <row r="49" spans="2:23" ht="15" customHeight="1">
      <c r="B49" s="5" t="s">
        <v>294</v>
      </c>
      <c r="C49" s="5"/>
      <c r="D49" s="5"/>
      <c r="E49" s="62"/>
      <c r="F49" s="62"/>
      <c r="G49" s="62"/>
      <c r="H49" s="62"/>
      <c r="I49" s="62"/>
      <c r="J49" s="62"/>
      <c r="K49" s="62"/>
      <c r="L49" s="63"/>
      <c r="M49" s="5" t="s">
        <v>295</v>
      </c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 spans="2:23" ht="15" customHeight="1">
      <c r="B50" s="5" t="s">
        <v>296</v>
      </c>
      <c r="C50" s="5"/>
      <c r="D50" s="5"/>
      <c r="E50" s="62"/>
      <c r="F50" s="62"/>
      <c r="G50" s="62"/>
      <c r="H50" s="62"/>
      <c r="I50" s="62"/>
      <c r="J50" s="62"/>
      <c r="K50" s="62"/>
      <c r="L50" s="63"/>
      <c r="M50" s="85" t="s">
        <v>297</v>
      </c>
      <c r="N50" s="85"/>
      <c r="O50" s="85"/>
      <c r="P50" s="85"/>
      <c r="Q50" s="85"/>
      <c r="S50" s="767" t="s">
        <v>298</v>
      </c>
      <c r="T50" s="767"/>
      <c r="U50" s="767"/>
      <c r="V50" s="767"/>
    </row>
    <row r="51" spans="2:23" ht="15" customHeight="1">
      <c r="B51" s="5" t="s">
        <v>299</v>
      </c>
      <c r="C51" s="5"/>
      <c r="D51" s="5"/>
      <c r="E51" s="62"/>
      <c r="F51" s="62"/>
      <c r="G51" s="62"/>
      <c r="H51" s="62"/>
      <c r="I51" s="62"/>
      <c r="J51" s="62"/>
      <c r="K51" s="62"/>
      <c r="L51" s="63"/>
      <c r="M51" s="85" t="s">
        <v>300</v>
      </c>
      <c r="N51" s="85"/>
      <c r="O51" s="85"/>
      <c r="P51" s="85"/>
      <c r="Q51" s="85"/>
      <c r="R51" s="62"/>
      <c r="S51" s="767" t="s">
        <v>301</v>
      </c>
      <c r="T51" s="767"/>
      <c r="U51" s="767"/>
      <c r="V51" s="767"/>
      <c r="W51" s="62"/>
    </row>
    <row r="52" spans="2:23" ht="15" customHeight="1">
      <c r="B52" s="5" t="s">
        <v>302</v>
      </c>
      <c r="C52" s="5"/>
      <c r="D52" s="5"/>
      <c r="E52" s="62"/>
      <c r="F52" s="62"/>
      <c r="G52" s="62"/>
      <c r="H52" s="62"/>
      <c r="I52" s="62"/>
      <c r="J52" s="62"/>
      <c r="K52" s="62"/>
      <c r="L52" s="63"/>
      <c r="M52" s="85" t="s">
        <v>303</v>
      </c>
      <c r="N52" s="85"/>
      <c r="O52" s="85"/>
      <c r="P52" s="85"/>
      <c r="Q52" s="85"/>
      <c r="R52" s="37"/>
      <c r="S52" s="767" t="s">
        <v>304</v>
      </c>
      <c r="T52" s="767"/>
      <c r="U52" s="767"/>
      <c r="V52" s="767"/>
      <c r="W52" s="37"/>
    </row>
    <row r="53" spans="2:23" ht="15" customHeight="1">
      <c r="B53" s="5" t="s">
        <v>305</v>
      </c>
      <c r="C53" s="5"/>
      <c r="D53" s="5"/>
      <c r="E53" s="62"/>
      <c r="F53" s="62"/>
      <c r="G53" s="62"/>
      <c r="H53" s="62"/>
      <c r="I53" s="62"/>
      <c r="J53" s="62"/>
      <c r="K53" s="62"/>
      <c r="L53" s="63"/>
      <c r="M53" s="772" t="s">
        <v>306</v>
      </c>
      <c r="N53" s="772"/>
      <c r="O53" s="772"/>
      <c r="P53" s="772"/>
      <c r="Q53" s="772"/>
      <c r="R53" s="37"/>
      <c r="S53" s="767" t="s">
        <v>307</v>
      </c>
      <c r="T53" s="767"/>
      <c r="U53" s="767"/>
      <c r="V53" s="767"/>
      <c r="W53" s="37"/>
    </row>
  </sheetData>
  <sheetProtection selectLockedCells="1" selectUnlockedCells="1"/>
  <mergeCells count="133">
    <mergeCell ref="B17:C17"/>
    <mergeCell ref="G7:H8"/>
    <mergeCell ref="B11:C11"/>
    <mergeCell ref="R9:S9"/>
    <mergeCell ref="R8:S8"/>
    <mergeCell ref="I8:J8"/>
    <mergeCell ref="E9:F9"/>
    <mergeCell ref="E11:F11"/>
    <mergeCell ref="G11:H11"/>
    <mergeCell ref="B13:C13"/>
    <mergeCell ref="I11:J11"/>
    <mergeCell ref="G17:H17"/>
    <mergeCell ref="I17:J17"/>
    <mergeCell ref="G16:H16"/>
    <mergeCell ref="B16:C16"/>
    <mergeCell ref="E16:F16"/>
    <mergeCell ref="G12:H12"/>
    <mergeCell ref="I12:J12"/>
    <mergeCell ref="B14:C14"/>
    <mergeCell ref="E14:F14"/>
    <mergeCell ref="G14:H14"/>
    <mergeCell ref="A4:L4"/>
    <mergeCell ref="N4:W4"/>
    <mergeCell ref="A5:L5"/>
    <mergeCell ref="N5:W5"/>
    <mergeCell ref="E15:F15"/>
    <mergeCell ref="G15:H15"/>
    <mergeCell ref="B15:C15"/>
    <mergeCell ref="O7:P7"/>
    <mergeCell ref="U7:V7"/>
    <mergeCell ref="I10:J10"/>
    <mergeCell ref="B12:C12"/>
    <mergeCell ref="I13:J13"/>
    <mergeCell ref="R11:S11"/>
    <mergeCell ref="Q7:T7"/>
    <mergeCell ref="R10:S10"/>
    <mergeCell ref="B9:C9"/>
    <mergeCell ref="B10:C10"/>
    <mergeCell ref="E10:F10"/>
    <mergeCell ref="G10:H10"/>
    <mergeCell ref="A7:D8"/>
    <mergeCell ref="E7:F8"/>
    <mergeCell ref="G9:H9"/>
    <mergeCell ref="I9:J9"/>
    <mergeCell ref="E12:F12"/>
    <mergeCell ref="R20:S20"/>
    <mergeCell ref="E20:F20"/>
    <mergeCell ref="I7:L7"/>
    <mergeCell ref="R18:S18"/>
    <mergeCell ref="R15:S15"/>
    <mergeCell ref="R14:S14"/>
    <mergeCell ref="I18:J18"/>
    <mergeCell ref="R17:S17"/>
    <mergeCell ref="E18:F18"/>
    <mergeCell ref="E17:F17"/>
    <mergeCell ref="R12:S12"/>
    <mergeCell ref="I15:J15"/>
    <mergeCell ref="R16:S16"/>
    <mergeCell ref="I16:J16"/>
    <mergeCell ref="R13:S13"/>
    <mergeCell ref="E13:F13"/>
    <mergeCell ref="G13:H13"/>
    <mergeCell ref="I14:J14"/>
    <mergeCell ref="I19:J19"/>
    <mergeCell ref="B18:C18"/>
    <mergeCell ref="G18:H18"/>
    <mergeCell ref="I20:J20"/>
    <mergeCell ref="B20:C20"/>
    <mergeCell ref="G20:H20"/>
    <mergeCell ref="B19:C19"/>
    <mergeCell ref="T30:W30"/>
    <mergeCell ref="B23:C23"/>
    <mergeCell ref="E22:F22"/>
    <mergeCell ref="G22:H22"/>
    <mergeCell ref="G23:H23"/>
    <mergeCell ref="B22:C22"/>
    <mergeCell ref="R23:S23"/>
    <mergeCell ref="O30:S30"/>
    <mergeCell ref="N30:N31"/>
    <mergeCell ref="I30:L30"/>
    <mergeCell ref="R19:S19"/>
    <mergeCell ref="E23:F23"/>
    <mergeCell ref="R22:S22"/>
    <mergeCell ref="R21:S21"/>
    <mergeCell ref="E19:F19"/>
    <mergeCell ref="G19:H19"/>
    <mergeCell ref="I22:J22"/>
    <mergeCell ref="B21:C21"/>
    <mergeCell ref="E21:F21"/>
    <mergeCell ref="G21:H21"/>
    <mergeCell ref="I21:J21"/>
    <mergeCell ref="R31:S31"/>
    <mergeCell ref="B24:J24"/>
    <mergeCell ref="A30:D31"/>
    <mergeCell ref="E30:H30"/>
    <mergeCell ref="B28:K28"/>
    <mergeCell ref="B27:J27"/>
    <mergeCell ref="I23:J23"/>
    <mergeCell ref="R24:S24"/>
    <mergeCell ref="B35:C35"/>
    <mergeCell ref="B38:C38"/>
    <mergeCell ref="R38:S38"/>
    <mergeCell ref="B40:C40"/>
    <mergeCell ref="R40:S40"/>
    <mergeCell ref="B32:C32"/>
    <mergeCell ref="B33:C33"/>
    <mergeCell ref="R33:S33"/>
    <mergeCell ref="R34:S34"/>
    <mergeCell ref="R32:S32"/>
    <mergeCell ref="B34:C34"/>
    <mergeCell ref="B36:C36"/>
    <mergeCell ref="R36:S36"/>
    <mergeCell ref="B37:C37"/>
    <mergeCell ref="R37:S37"/>
    <mergeCell ref="S51:V51"/>
    <mergeCell ref="R46:S46"/>
    <mergeCell ref="R42:S42"/>
    <mergeCell ref="M53:Q53"/>
    <mergeCell ref="S53:V53"/>
    <mergeCell ref="S50:V50"/>
    <mergeCell ref="S52:V52"/>
    <mergeCell ref="B46:C46"/>
    <mergeCell ref="B39:C39"/>
    <mergeCell ref="R39:S39"/>
    <mergeCell ref="B44:C44"/>
    <mergeCell ref="B43:C43"/>
    <mergeCell ref="B41:C41"/>
    <mergeCell ref="R41:S41"/>
    <mergeCell ref="B42:C42"/>
    <mergeCell ref="R43:S43"/>
    <mergeCell ref="R44:S44"/>
    <mergeCell ref="B45:C45"/>
    <mergeCell ref="R45:S45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&amp;L&amp;"ＭＳ 明朝,標準"&amp;10人　口</oddHeader>
    <oddFooter>&amp;C&amp;"ＭＳ 明朝,標準"&amp;10&amp;A</oddFooter>
  </headerFooter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W53"/>
  <sheetViews>
    <sheetView view="pageBreakPreview" topLeftCell="A43" zoomScaleNormal="100" zoomScaleSheetLayoutView="100" workbookViewId="0">
      <pane xSplit="4" topLeftCell="M1" activePane="topRight" state="frozen"/>
      <selection activeCell="E5" sqref="E5"/>
      <selection pane="topRight" activeCell="P15" sqref="P15"/>
    </sheetView>
  </sheetViews>
  <sheetFormatPr defaultRowHeight="11.25" customHeight="1"/>
  <cols>
    <col min="1" max="1" width="1.25" style="55" customWidth="1"/>
    <col min="2" max="2" width="8.375" style="55" customWidth="1"/>
    <col min="3" max="3" width="5" style="55" customWidth="1"/>
    <col min="4" max="4" width="1.25" style="55" customWidth="1"/>
    <col min="5" max="11" width="9.5" style="55" customWidth="1"/>
    <col min="12" max="12" width="9.5" style="56" customWidth="1"/>
    <col min="13" max="13" width="0.875" style="55" customWidth="1"/>
    <col min="14" max="14" width="11.125" style="55" customWidth="1"/>
    <col min="15" max="15" width="9.5" style="55" customWidth="1"/>
    <col min="16" max="16" width="9.625" style="55" customWidth="1"/>
    <col min="17" max="17" width="9.5" style="55" customWidth="1"/>
    <col min="18" max="19" width="4.625" style="55" customWidth="1"/>
    <col min="20" max="22" width="9.875" style="55" customWidth="1"/>
    <col min="23" max="23" width="9" style="55"/>
    <col min="24" max="24" width="15" style="55" customWidth="1"/>
    <col min="25" max="16384" width="9" style="55"/>
  </cols>
  <sheetData>
    <row r="1" spans="1:23" ht="11.25" customHeight="1">
      <c r="A1" s="57"/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23" ht="11.25" customHeight="1">
      <c r="A2" s="57" t="s">
        <v>261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3" ht="11.25" customHeight="1">
      <c r="A3" s="57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23" s="60" customFormat="1" ht="84" customHeight="1">
      <c r="A4" s="797" t="s">
        <v>577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N4" s="797" t="s">
        <v>583</v>
      </c>
      <c r="O4" s="797"/>
      <c r="P4" s="797"/>
      <c r="Q4" s="797"/>
      <c r="R4" s="797"/>
      <c r="S4" s="797"/>
      <c r="T4" s="797"/>
      <c r="U4" s="797"/>
      <c r="V4" s="797"/>
      <c r="W4" s="797"/>
    </row>
    <row r="5" spans="1:23" ht="11.25" customHeight="1">
      <c r="A5" s="798"/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61"/>
      <c r="N5" s="799"/>
      <c r="O5" s="799"/>
      <c r="P5" s="799"/>
      <c r="Q5" s="799"/>
      <c r="R5" s="799"/>
      <c r="S5" s="799"/>
      <c r="T5" s="799"/>
      <c r="U5" s="799"/>
      <c r="V5" s="799"/>
      <c r="W5" s="799"/>
    </row>
    <row r="6" spans="1:23" ht="11.25" customHeight="1" thickBot="1">
      <c r="B6" s="5" t="s">
        <v>262</v>
      </c>
      <c r="C6" s="5"/>
      <c r="D6" s="5"/>
      <c r="E6" s="62"/>
      <c r="F6" s="62"/>
      <c r="G6" s="62"/>
      <c r="I6" s="62"/>
      <c r="K6" s="62"/>
      <c r="L6" s="63"/>
      <c r="N6" s="5" t="s">
        <v>263</v>
      </c>
    </row>
    <row r="7" spans="1:23" ht="11.25" customHeight="1">
      <c r="A7" s="783" t="s">
        <v>264</v>
      </c>
      <c r="B7" s="784"/>
      <c r="C7" s="784"/>
      <c r="D7" s="784"/>
      <c r="E7" s="784" t="s">
        <v>265</v>
      </c>
      <c r="F7" s="784"/>
      <c r="G7" s="784" t="s">
        <v>266</v>
      </c>
      <c r="H7" s="784"/>
      <c r="I7" s="784" t="s">
        <v>267</v>
      </c>
      <c r="J7" s="784"/>
      <c r="K7" s="784"/>
      <c r="L7" s="789"/>
      <c r="M7" s="56"/>
      <c r="N7" s="223" t="s">
        <v>268</v>
      </c>
      <c r="O7" s="801" t="s">
        <v>269</v>
      </c>
      <c r="P7" s="801"/>
      <c r="Q7" s="784" t="s">
        <v>270</v>
      </c>
      <c r="R7" s="784"/>
      <c r="S7" s="784"/>
      <c r="T7" s="784"/>
      <c r="U7" s="735" t="s">
        <v>271</v>
      </c>
      <c r="V7" s="802"/>
      <c r="W7" s="81"/>
    </row>
    <row r="8" spans="1:23" ht="11.25" customHeight="1">
      <c r="A8" s="785"/>
      <c r="B8" s="781"/>
      <c r="C8" s="781"/>
      <c r="D8" s="781"/>
      <c r="E8" s="781"/>
      <c r="F8" s="781"/>
      <c r="G8" s="781"/>
      <c r="H8" s="781"/>
      <c r="I8" s="805" t="s">
        <v>22</v>
      </c>
      <c r="J8" s="805"/>
      <c r="K8" s="4" t="s">
        <v>23</v>
      </c>
      <c r="L8" s="219" t="s">
        <v>24</v>
      </c>
      <c r="M8" s="37"/>
      <c r="N8" s="218" t="s">
        <v>27</v>
      </c>
      <c r="O8" s="19" t="s">
        <v>272</v>
      </c>
      <c r="P8" s="19" t="s">
        <v>273</v>
      </c>
      <c r="Q8" s="10" t="s">
        <v>27</v>
      </c>
      <c r="R8" s="685" t="s">
        <v>28</v>
      </c>
      <c r="S8" s="685"/>
      <c r="T8" s="19" t="s">
        <v>274</v>
      </c>
      <c r="U8" s="10" t="s">
        <v>27</v>
      </c>
      <c r="V8" s="350" t="s">
        <v>28</v>
      </c>
    </row>
    <row r="9" spans="1:23" ht="11.25" customHeight="1">
      <c r="A9" s="220"/>
      <c r="B9" s="777" t="s">
        <v>253</v>
      </c>
      <c r="C9" s="777"/>
      <c r="D9" s="37"/>
      <c r="E9" s="779">
        <v>2276.15</v>
      </c>
      <c r="F9" s="779"/>
      <c r="G9" s="803">
        <v>520191</v>
      </c>
      <c r="H9" s="803"/>
      <c r="I9" s="803">
        <f>+K9+L9</f>
        <v>1392818</v>
      </c>
      <c r="J9" s="803"/>
      <c r="K9" s="3">
        <v>683328</v>
      </c>
      <c r="L9" s="321">
        <v>709490</v>
      </c>
      <c r="M9" s="56"/>
      <c r="N9" s="224">
        <v>1361594</v>
      </c>
      <c r="O9" s="378">
        <f>I9-N9</f>
        <v>31224</v>
      </c>
      <c r="P9" s="379">
        <f>O9/N9*100</f>
        <v>2.2931945939832286</v>
      </c>
      <c r="Q9" s="65">
        <v>1000</v>
      </c>
      <c r="R9" s="804">
        <f>(I9/1392818)*1000</f>
        <v>1000</v>
      </c>
      <c r="S9" s="804"/>
      <c r="T9" s="386">
        <v>0</v>
      </c>
      <c r="U9" s="66">
        <v>598.6</v>
      </c>
      <c r="V9" s="390">
        <v>611.9</v>
      </c>
      <c r="W9" s="400"/>
    </row>
    <row r="10" spans="1:23" ht="11.25" customHeight="1">
      <c r="A10" s="220"/>
      <c r="B10" s="777" t="s">
        <v>213</v>
      </c>
      <c r="C10" s="777"/>
      <c r="D10" s="37"/>
      <c r="E10" s="779">
        <v>39.24</v>
      </c>
      <c r="F10" s="779"/>
      <c r="G10" s="780">
        <v>129512</v>
      </c>
      <c r="H10" s="780"/>
      <c r="I10" s="780">
        <f t="shared" ref="I10:I23" si="0">+K10+L10</f>
        <v>315954</v>
      </c>
      <c r="J10" s="780"/>
      <c r="K10" s="3">
        <v>151848</v>
      </c>
      <c r="L10" s="321">
        <v>164106</v>
      </c>
      <c r="M10" s="56"/>
      <c r="N10" s="225">
        <v>312393</v>
      </c>
      <c r="O10" s="380">
        <f t="shared" ref="O10:O23" si="1">I10-N10</f>
        <v>3561</v>
      </c>
      <c r="P10" s="381">
        <f t="shared" ref="P10:P23" si="2">O10/N10*100</f>
        <v>1.1399103052885309</v>
      </c>
      <c r="Q10" s="67">
        <v>229.4</v>
      </c>
      <c r="R10" s="791">
        <f>(I10/1392818)*1000</f>
        <v>226.84514416097437</v>
      </c>
      <c r="S10" s="791"/>
      <c r="T10" s="387">
        <f>R10-Q10</f>
        <v>-2.5548558390256346</v>
      </c>
      <c r="U10" s="68">
        <v>8001.9</v>
      </c>
      <c r="V10" s="391">
        <v>8051.8</v>
      </c>
    </row>
    <row r="11" spans="1:23" ht="11.25" customHeight="1">
      <c r="A11" s="220"/>
      <c r="B11" s="777" t="s">
        <v>215</v>
      </c>
      <c r="C11" s="777"/>
      <c r="D11" s="37"/>
      <c r="E11" s="779">
        <v>86.08</v>
      </c>
      <c r="F11" s="779"/>
      <c r="G11" s="780">
        <v>38344</v>
      </c>
      <c r="H11" s="780"/>
      <c r="I11" s="780">
        <f t="shared" si="0"/>
        <v>116979</v>
      </c>
      <c r="J11" s="780"/>
      <c r="K11" s="3">
        <v>58198</v>
      </c>
      <c r="L11" s="321">
        <v>58781</v>
      </c>
      <c r="M11" s="56"/>
      <c r="N11" s="225">
        <v>113535</v>
      </c>
      <c r="O11" s="380">
        <f t="shared" si="1"/>
        <v>3444</v>
      </c>
      <c r="P11" s="381">
        <f t="shared" si="2"/>
        <v>3.0334258158277181</v>
      </c>
      <c r="Q11" s="67">
        <v>83.4</v>
      </c>
      <c r="R11" s="791">
        <f>(I11/1392818)*1000</f>
        <v>83.987283334936791</v>
      </c>
      <c r="S11" s="791"/>
      <c r="T11" s="387">
        <f>R11-Q11</f>
        <v>0.5872833349367852</v>
      </c>
      <c r="U11" s="69">
        <v>1320</v>
      </c>
      <c r="V11" s="391">
        <v>1359</v>
      </c>
    </row>
    <row r="12" spans="1:23" ht="11.25" customHeight="1">
      <c r="A12" s="220"/>
      <c r="B12" s="777" t="s">
        <v>219</v>
      </c>
      <c r="C12" s="777"/>
      <c r="D12" s="37"/>
      <c r="E12" s="779">
        <v>19.7</v>
      </c>
      <c r="F12" s="779"/>
      <c r="G12" s="780">
        <v>36361</v>
      </c>
      <c r="H12" s="780"/>
      <c r="I12" s="780">
        <f t="shared" si="0"/>
        <v>91928</v>
      </c>
      <c r="J12" s="780"/>
      <c r="K12" s="3">
        <v>44720</v>
      </c>
      <c r="L12" s="321">
        <v>47208</v>
      </c>
      <c r="M12" s="56"/>
      <c r="N12" s="225">
        <v>89769</v>
      </c>
      <c r="O12" s="380">
        <f>I12-N12</f>
        <v>2159</v>
      </c>
      <c r="P12" s="381">
        <f t="shared" si="2"/>
        <v>2.4050618810502513</v>
      </c>
      <c r="Q12" s="67">
        <v>65.900000000000006</v>
      </c>
      <c r="R12" s="791">
        <f t="shared" ref="R12:R23" si="3">(I12/1392818)*1000</f>
        <v>66.001444553416164</v>
      </c>
      <c r="S12" s="791"/>
      <c r="T12" s="387">
        <f t="shared" ref="T12:T22" si="4">R12-Q12</f>
        <v>0.1014445534161581</v>
      </c>
      <c r="U12" s="68">
        <v>4559.1000000000004</v>
      </c>
      <c r="V12" s="391">
        <v>4666.3999999999996</v>
      </c>
    </row>
    <row r="13" spans="1:23" ht="11.25" customHeight="1">
      <c r="A13" s="220"/>
      <c r="B13" s="777" t="s">
        <v>217</v>
      </c>
      <c r="C13" s="777"/>
      <c r="D13" s="37"/>
      <c r="E13" s="779">
        <v>204.57</v>
      </c>
      <c r="F13" s="779"/>
      <c r="G13" s="780">
        <v>21196</v>
      </c>
      <c r="H13" s="780"/>
      <c r="I13" s="780">
        <f t="shared" si="0"/>
        <v>52039</v>
      </c>
      <c r="J13" s="780"/>
      <c r="K13" s="3">
        <v>25502</v>
      </c>
      <c r="L13" s="321">
        <v>26537</v>
      </c>
      <c r="M13" s="56"/>
      <c r="N13" s="225">
        <v>53493</v>
      </c>
      <c r="O13" s="382">
        <f t="shared" si="1"/>
        <v>-1454</v>
      </c>
      <c r="P13" s="383">
        <f t="shared" si="2"/>
        <v>-2.7181126502533042</v>
      </c>
      <c r="Q13" s="67">
        <v>39.299999999999997</v>
      </c>
      <c r="R13" s="791">
        <f t="shared" si="3"/>
        <v>37.362383312105386</v>
      </c>
      <c r="S13" s="791"/>
      <c r="T13" s="387">
        <f t="shared" si="4"/>
        <v>-1.9376166878946108</v>
      </c>
      <c r="U13" s="69">
        <v>261.60000000000002</v>
      </c>
      <c r="V13" s="391">
        <v>254.4</v>
      </c>
    </row>
    <row r="14" spans="1:23" ht="11.25" customHeight="1">
      <c r="A14" s="220"/>
      <c r="B14" s="777" t="s">
        <v>223</v>
      </c>
      <c r="C14" s="777"/>
      <c r="D14" s="37"/>
      <c r="E14" s="779">
        <v>229</v>
      </c>
      <c r="F14" s="779"/>
      <c r="G14" s="780">
        <v>19212</v>
      </c>
      <c r="H14" s="780"/>
      <c r="I14" s="780">
        <f t="shared" si="0"/>
        <v>46922</v>
      </c>
      <c r="J14" s="780"/>
      <c r="K14" s="3">
        <v>23310</v>
      </c>
      <c r="L14" s="321">
        <v>23612</v>
      </c>
      <c r="M14" s="56"/>
      <c r="N14" s="225">
        <v>45183</v>
      </c>
      <c r="O14" s="380">
        <f t="shared" si="1"/>
        <v>1739</v>
      </c>
      <c r="P14" s="381">
        <f t="shared" si="2"/>
        <v>3.8487926875152159</v>
      </c>
      <c r="Q14" s="67">
        <v>33.200000000000003</v>
      </c>
      <c r="R14" s="791">
        <f t="shared" si="3"/>
        <v>33.688536477845638</v>
      </c>
      <c r="S14" s="791"/>
      <c r="T14" s="387">
        <f t="shared" si="4"/>
        <v>0.48853647784563492</v>
      </c>
      <c r="U14" s="68">
        <v>197.4</v>
      </c>
      <c r="V14" s="391">
        <v>204.9</v>
      </c>
    </row>
    <row r="15" spans="1:23" ht="11.25" customHeight="1">
      <c r="A15" s="220"/>
      <c r="B15" s="774" t="s">
        <v>275</v>
      </c>
      <c r="C15" s="774"/>
      <c r="D15" s="54"/>
      <c r="E15" s="800">
        <v>19.09</v>
      </c>
      <c r="F15" s="800"/>
      <c r="G15" s="796">
        <v>40927</v>
      </c>
      <c r="H15" s="796"/>
      <c r="I15" s="796">
        <f t="shared" si="0"/>
        <v>110351</v>
      </c>
      <c r="J15" s="796"/>
      <c r="K15" s="40">
        <v>53948</v>
      </c>
      <c r="L15" s="376">
        <v>56403</v>
      </c>
      <c r="M15" s="56"/>
      <c r="N15" s="226">
        <v>106049</v>
      </c>
      <c r="O15" s="384">
        <f t="shared" si="1"/>
        <v>4302</v>
      </c>
      <c r="P15" s="648">
        <f t="shared" si="2"/>
        <v>4.0566153381927217</v>
      </c>
      <c r="Q15" s="72">
        <v>77.900000000000006</v>
      </c>
      <c r="R15" s="795">
        <f t="shared" si="3"/>
        <v>79.228585500761767</v>
      </c>
      <c r="S15" s="795"/>
      <c r="T15" s="388">
        <f t="shared" si="4"/>
        <v>1.3285855007617613</v>
      </c>
      <c r="U15" s="73">
        <v>5555.2</v>
      </c>
      <c r="V15" s="392">
        <v>5780.6</v>
      </c>
    </row>
    <row r="16" spans="1:23" ht="11.25" customHeight="1">
      <c r="A16" s="220"/>
      <c r="B16" s="777" t="s">
        <v>225</v>
      </c>
      <c r="C16" s="777"/>
      <c r="D16" s="37"/>
      <c r="E16" s="779">
        <v>210.37</v>
      </c>
      <c r="F16" s="779"/>
      <c r="G16" s="780">
        <v>24277</v>
      </c>
      <c r="H16" s="780"/>
      <c r="I16" s="780">
        <f t="shared" si="0"/>
        <v>60231</v>
      </c>
      <c r="J16" s="780"/>
      <c r="K16" s="3">
        <v>30036</v>
      </c>
      <c r="L16" s="321">
        <v>30195</v>
      </c>
      <c r="M16" s="56"/>
      <c r="N16" s="225">
        <v>59463</v>
      </c>
      <c r="O16" s="380">
        <f t="shared" si="1"/>
        <v>768</v>
      </c>
      <c r="P16" s="381">
        <f t="shared" si="2"/>
        <v>1.2915594571414157</v>
      </c>
      <c r="Q16" s="67">
        <v>43.7</v>
      </c>
      <c r="R16" s="791">
        <f t="shared" si="3"/>
        <v>43.243984497615628</v>
      </c>
      <c r="S16" s="791"/>
      <c r="T16" s="387">
        <f t="shared" si="4"/>
        <v>-0.45601550238437483</v>
      </c>
      <c r="U16" s="68">
        <v>282.8</v>
      </c>
      <c r="V16" s="391">
        <v>286.3</v>
      </c>
    </row>
    <row r="17" spans="1:23" ht="11.25" customHeight="1">
      <c r="A17" s="220"/>
      <c r="B17" s="777" t="s">
        <v>227</v>
      </c>
      <c r="C17" s="777"/>
      <c r="D17" s="37"/>
      <c r="E17" s="779">
        <v>46.63</v>
      </c>
      <c r="F17" s="779"/>
      <c r="G17" s="780">
        <v>19249</v>
      </c>
      <c r="H17" s="780"/>
      <c r="I17" s="780">
        <f t="shared" si="0"/>
        <v>57320</v>
      </c>
      <c r="J17" s="780"/>
      <c r="K17" s="3">
        <v>28739</v>
      </c>
      <c r="L17" s="321">
        <v>28581</v>
      </c>
      <c r="M17" s="56"/>
      <c r="N17" s="225">
        <v>55816</v>
      </c>
      <c r="O17" s="380">
        <f t="shared" si="1"/>
        <v>1504</v>
      </c>
      <c r="P17" s="381">
        <f t="shared" si="2"/>
        <v>2.694567865844919</v>
      </c>
      <c r="Q17" s="67">
        <v>41</v>
      </c>
      <c r="R17" s="791">
        <f t="shared" si="3"/>
        <v>41.153977045098493</v>
      </c>
      <c r="S17" s="791"/>
      <c r="T17" s="387">
        <f t="shared" si="4"/>
        <v>0.15397704509849319</v>
      </c>
      <c r="U17" s="68">
        <v>1197</v>
      </c>
      <c r="V17" s="391">
        <v>1229.3</v>
      </c>
    </row>
    <row r="18" spans="1:23" ht="11.25" customHeight="1">
      <c r="A18" s="220"/>
      <c r="B18" s="777" t="s">
        <v>229</v>
      </c>
      <c r="C18" s="777"/>
      <c r="D18" s="37"/>
      <c r="E18" s="779">
        <v>49</v>
      </c>
      <c r="F18" s="779"/>
      <c r="G18" s="780">
        <v>47999</v>
      </c>
      <c r="H18" s="780"/>
      <c r="I18" s="780">
        <f t="shared" si="0"/>
        <v>130249</v>
      </c>
      <c r="J18" s="780"/>
      <c r="K18" s="3">
        <v>63195</v>
      </c>
      <c r="L18" s="321">
        <v>67054</v>
      </c>
      <c r="M18" s="56"/>
      <c r="N18" s="225">
        <v>126400</v>
      </c>
      <c r="O18" s="380">
        <f t="shared" si="1"/>
        <v>3849</v>
      </c>
      <c r="P18" s="381">
        <f t="shared" si="2"/>
        <v>3.0450949367088609</v>
      </c>
      <c r="Q18" s="67">
        <v>92.8</v>
      </c>
      <c r="R18" s="791">
        <f t="shared" si="3"/>
        <v>93.51473056781289</v>
      </c>
      <c r="S18" s="791"/>
      <c r="T18" s="387">
        <f t="shared" si="4"/>
        <v>0.71473056781289301</v>
      </c>
      <c r="U18" s="68">
        <v>2579.6</v>
      </c>
      <c r="V18" s="391">
        <v>2658.1</v>
      </c>
    </row>
    <row r="19" spans="1:23" ht="11.25" customHeight="1">
      <c r="A19" s="220"/>
      <c r="B19" s="777" t="s">
        <v>231</v>
      </c>
      <c r="C19" s="777"/>
      <c r="D19" s="37"/>
      <c r="E19" s="779">
        <v>19.45</v>
      </c>
      <c r="F19" s="779"/>
      <c r="G19" s="780">
        <v>19332</v>
      </c>
      <c r="H19" s="780"/>
      <c r="I19" s="780">
        <f t="shared" si="0"/>
        <v>57261</v>
      </c>
      <c r="J19" s="780"/>
      <c r="K19" s="3">
        <v>27860</v>
      </c>
      <c r="L19" s="321">
        <v>29401</v>
      </c>
      <c r="M19" s="56"/>
      <c r="N19" s="225">
        <v>52516</v>
      </c>
      <c r="O19" s="380">
        <f>I19-N19</f>
        <v>4745</v>
      </c>
      <c r="P19" s="381">
        <f t="shared" si="2"/>
        <v>9.0353416101759461</v>
      </c>
      <c r="Q19" s="67">
        <v>39.6</v>
      </c>
      <c r="R19" s="791">
        <f t="shared" si="3"/>
        <v>41.111616880310279</v>
      </c>
      <c r="S19" s="791"/>
      <c r="T19" s="387">
        <f t="shared" si="4"/>
        <v>1.5116168803102781</v>
      </c>
      <c r="U19" s="68">
        <v>2700.1</v>
      </c>
      <c r="V19" s="391">
        <v>2944</v>
      </c>
    </row>
    <row r="20" spans="1:23" ht="11.25" customHeight="1">
      <c r="A20" s="220"/>
      <c r="B20" s="777" t="s">
        <v>581</v>
      </c>
      <c r="C20" s="777"/>
      <c r="D20" s="37"/>
      <c r="E20" s="793">
        <v>49.77</v>
      </c>
      <c r="F20" s="794"/>
      <c r="G20" s="788">
        <v>12676</v>
      </c>
      <c r="H20" s="788"/>
      <c r="I20" s="780">
        <f>+K20+L20</f>
        <v>39758</v>
      </c>
      <c r="J20" s="780"/>
      <c r="K20" s="3">
        <v>20070</v>
      </c>
      <c r="L20" s="321">
        <v>19688</v>
      </c>
      <c r="M20" s="56"/>
      <c r="N20" s="394" t="s">
        <v>527</v>
      </c>
      <c r="O20" s="395" t="s">
        <v>527</v>
      </c>
      <c r="P20" s="395" t="s">
        <v>527</v>
      </c>
      <c r="Q20" s="395" t="s">
        <v>527</v>
      </c>
      <c r="R20" s="791">
        <f>(I20/1392818)*1000</f>
        <v>28.545007316103035</v>
      </c>
      <c r="S20" s="791"/>
      <c r="T20" s="395" t="s">
        <v>527</v>
      </c>
      <c r="U20" s="395" t="s">
        <v>527</v>
      </c>
      <c r="V20" s="375">
        <v>798.8</v>
      </c>
    </row>
    <row r="21" spans="1:23" ht="11.25" customHeight="1">
      <c r="A21" s="220"/>
      <c r="B21" s="777" t="s">
        <v>211</v>
      </c>
      <c r="C21" s="777"/>
      <c r="D21" s="37"/>
      <c r="E21" s="779">
        <v>15.84</v>
      </c>
      <c r="F21" s="779"/>
      <c r="G21" s="780">
        <v>12118</v>
      </c>
      <c r="H21" s="780"/>
      <c r="I21" s="780">
        <f t="shared" si="0"/>
        <v>34766</v>
      </c>
      <c r="J21" s="780"/>
      <c r="K21" s="3">
        <v>17328</v>
      </c>
      <c r="L21" s="321">
        <v>17438</v>
      </c>
      <c r="M21" s="56"/>
      <c r="N21" s="225">
        <v>33733</v>
      </c>
      <c r="O21" s="380">
        <f t="shared" si="1"/>
        <v>1033</v>
      </c>
      <c r="P21" s="381">
        <f t="shared" si="2"/>
        <v>3.0622832241425311</v>
      </c>
      <c r="Q21" s="67">
        <v>24.8</v>
      </c>
      <c r="R21" s="791">
        <f t="shared" si="3"/>
        <v>24.960906593682736</v>
      </c>
      <c r="S21" s="791"/>
      <c r="T21" s="387">
        <f t="shared" si="4"/>
        <v>0.16090659368273563</v>
      </c>
      <c r="U21" s="68">
        <v>2129.6</v>
      </c>
      <c r="V21" s="391">
        <v>2194.8000000000002</v>
      </c>
    </row>
    <row r="22" spans="1:23" ht="11.25" customHeight="1">
      <c r="A22" s="220"/>
      <c r="B22" s="777" t="s">
        <v>578</v>
      </c>
      <c r="C22" s="777"/>
      <c r="D22" s="37"/>
      <c r="E22" s="779">
        <v>5.08</v>
      </c>
      <c r="F22" s="779"/>
      <c r="G22" s="780">
        <v>5805</v>
      </c>
      <c r="H22" s="780"/>
      <c r="I22" s="780">
        <f t="shared" si="0"/>
        <v>16318</v>
      </c>
      <c r="J22" s="780"/>
      <c r="K22" s="3">
        <v>7868</v>
      </c>
      <c r="L22" s="321">
        <v>8450</v>
      </c>
      <c r="M22" s="56"/>
      <c r="N22" s="225">
        <v>15343</v>
      </c>
      <c r="O22" s="380">
        <f t="shared" si="1"/>
        <v>975</v>
      </c>
      <c r="P22" s="381">
        <f t="shared" si="2"/>
        <v>6.354689434921462</v>
      </c>
      <c r="Q22" s="67">
        <v>11.3</v>
      </c>
      <c r="R22" s="791">
        <f t="shared" si="3"/>
        <v>11.715816423969247</v>
      </c>
      <c r="S22" s="791"/>
      <c r="T22" s="387">
        <f t="shared" si="4"/>
        <v>0.41581642396924678</v>
      </c>
      <c r="U22" s="68">
        <v>3150.5</v>
      </c>
      <c r="V22" s="391">
        <v>3212.2</v>
      </c>
    </row>
    <row r="23" spans="1:23" ht="11.25" customHeight="1" thickBot="1">
      <c r="A23" s="222"/>
      <c r="B23" s="773" t="s">
        <v>216</v>
      </c>
      <c r="C23" s="773"/>
      <c r="D23" s="215"/>
      <c r="E23" s="792">
        <v>10.72</v>
      </c>
      <c r="F23" s="792"/>
      <c r="G23" s="787">
        <v>11254</v>
      </c>
      <c r="H23" s="787"/>
      <c r="I23" s="787">
        <f t="shared" si="0"/>
        <v>35244</v>
      </c>
      <c r="J23" s="787"/>
      <c r="K23" s="296">
        <v>17358</v>
      </c>
      <c r="L23" s="377">
        <v>17886</v>
      </c>
      <c r="M23" s="56"/>
      <c r="N23" s="227">
        <v>33537</v>
      </c>
      <c r="O23" s="385">
        <f t="shared" si="1"/>
        <v>1707</v>
      </c>
      <c r="P23" s="383">
        <f t="shared" si="2"/>
        <v>5.0899007066821715</v>
      </c>
      <c r="Q23" s="228">
        <v>24.6</v>
      </c>
      <c r="R23" s="790">
        <f t="shared" si="3"/>
        <v>25.304095725356795</v>
      </c>
      <c r="S23" s="790"/>
      <c r="T23" s="389">
        <f>R23-Q23</f>
        <v>0.70409572535679388</v>
      </c>
      <c r="U23" s="229">
        <v>3128.5</v>
      </c>
      <c r="V23" s="393">
        <v>3287.7</v>
      </c>
    </row>
    <row r="24" spans="1:23" ht="11.25" customHeight="1">
      <c r="B24" s="782" t="s">
        <v>644</v>
      </c>
      <c r="C24" s="782"/>
      <c r="D24" s="782"/>
      <c r="E24" s="782"/>
      <c r="F24" s="782"/>
      <c r="G24" s="782"/>
      <c r="H24" s="782"/>
      <c r="I24" s="782"/>
      <c r="J24" s="782"/>
      <c r="K24" s="62"/>
      <c r="L24" s="63"/>
      <c r="M24" s="56"/>
      <c r="N24" s="62"/>
      <c r="O24" s="62"/>
      <c r="P24" s="371"/>
      <c r="Q24" s="62"/>
      <c r="R24" s="778"/>
      <c r="S24" s="778"/>
      <c r="T24" s="62"/>
      <c r="U24" s="7"/>
      <c r="V24" s="7" t="s">
        <v>276</v>
      </c>
      <c r="W24" s="7"/>
    </row>
    <row r="25" spans="1:23" ht="11.25" customHeight="1">
      <c r="B25" s="5" t="s">
        <v>580</v>
      </c>
      <c r="C25" s="5"/>
      <c r="D25" s="5"/>
      <c r="E25" s="62"/>
      <c r="F25" s="62"/>
      <c r="G25" s="62"/>
      <c r="H25" s="62"/>
      <c r="I25" s="62"/>
      <c r="J25" s="62"/>
      <c r="K25" s="62"/>
      <c r="L25" s="63"/>
      <c r="M25" s="5"/>
      <c r="N25" s="62"/>
      <c r="O25" s="62"/>
      <c r="P25" s="62"/>
      <c r="Q25" s="62"/>
      <c r="R25" s="62"/>
      <c r="S25" s="62"/>
      <c r="T25" s="62"/>
      <c r="U25" s="62"/>
      <c r="V25" s="62"/>
      <c r="W25" s="7"/>
    </row>
    <row r="26" spans="1:23" ht="11.25" customHeight="1">
      <c r="B26" s="5" t="s">
        <v>579</v>
      </c>
      <c r="C26" s="5"/>
      <c r="D26" s="5"/>
      <c r="E26" s="5"/>
      <c r="F26" s="5"/>
      <c r="G26" s="5"/>
      <c r="H26" s="5"/>
      <c r="I26" s="5"/>
      <c r="J26" s="5"/>
      <c r="K26" s="5"/>
      <c r="L26" s="63"/>
      <c r="M26" s="5"/>
      <c r="N26" s="62"/>
      <c r="O26" s="62"/>
      <c r="P26" s="62"/>
      <c r="Q26" s="62"/>
      <c r="R26" s="62"/>
      <c r="S26" s="62"/>
      <c r="T26" s="62"/>
      <c r="U26" s="62"/>
      <c r="V26" s="62"/>
      <c r="W26" s="62"/>
    </row>
    <row r="27" spans="1:23" ht="11.25" customHeight="1">
      <c r="B27" s="786" t="s">
        <v>582</v>
      </c>
      <c r="C27" s="786"/>
      <c r="D27" s="786"/>
      <c r="E27" s="786"/>
      <c r="F27" s="786"/>
      <c r="G27" s="786"/>
      <c r="H27" s="786"/>
      <c r="I27" s="786"/>
      <c r="J27" s="786"/>
      <c r="K27" s="62"/>
      <c r="L27" s="63"/>
      <c r="M27" s="5"/>
      <c r="N27" s="62"/>
      <c r="O27" s="62"/>
      <c r="P27" s="62"/>
      <c r="Q27" s="62"/>
      <c r="R27" s="62"/>
      <c r="S27" s="62"/>
      <c r="T27" s="62"/>
      <c r="U27" s="62"/>
      <c r="V27" s="62"/>
      <c r="W27" s="62"/>
    </row>
    <row r="28" spans="1:23" ht="11.25" customHeight="1">
      <c r="B28" s="786"/>
      <c r="C28" s="786"/>
      <c r="D28" s="786"/>
      <c r="E28" s="786"/>
      <c r="F28" s="786"/>
      <c r="G28" s="786"/>
      <c r="H28" s="786"/>
      <c r="I28" s="786"/>
      <c r="J28" s="786"/>
      <c r="K28" s="786"/>
      <c r="L28" s="63"/>
      <c r="M28" s="5"/>
      <c r="N28" s="62"/>
      <c r="O28" s="62"/>
      <c r="P28" s="62"/>
      <c r="Q28" s="62"/>
      <c r="R28" s="62"/>
      <c r="S28" s="62"/>
      <c r="T28" s="62"/>
      <c r="U28" s="62"/>
      <c r="V28" s="62"/>
      <c r="W28" s="62"/>
    </row>
    <row r="29" spans="1:23" ht="11.25" customHeight="1" thickBot="1">
      <c r="B29" s="5" t="s">
        <v>277</v>
      </c>
      <c r="C29" s="5"/>
      <c r="D29" s="5"/>
      <c r="E29" s="62"/>
      <c r="F29" s="62"/>
      <c r="G29" s="62"/>
      <c r="H29" s="62"/>
      <c r="I29" s="62"/>
      <c r="J29" s="62"/>
      <c r="K29" s="62"/>
      <c r="L29" s="63"/>
      <c r="M29" s="5"/>
      <c r="N29" s="5" t="s">
        <v>278</v>
      </c>
      <c r="O29" s="62"/>
      <c r="P29" s="62"/>
      <c r="Q29" s="62"/>
      <c r="R29" s="62"/>
      <c r="S29" s="62"/>
      <c r="T29" s="62"/>
      <c r="U29" s="62"/>
      <c r="V29" s="62"/>
      <c r="W29" s="62"/>
    </row>
    <row r="30" spans="1:23" ht="11.25" customHeight="1">
      <c r="A30" s="783" t="s">
        <v>264</v>
      </c>
      <c r="B30" s="784"/>
      <c r="C30" s="784"/>
      <c r="D30" s="784"/>
      <c r="E30" s="784" t="s">
        <v>279</v>
      </c>
      <c r="F30" s="784"/>
      <c r="G30" s="784"/>
      <c r="H30" s="784"/>
      <c r="I30" s="784" t="s">
        <v>280</v>
      </c>
      <c r="J30" s="784"/>
      <c r="K30" s="784"/>
      <c r="L30" s="789"/>
      <c r="M30" s="81"/>
      <c r="N30" s="783" t="s">
        <v>208</v>
      </c>
      <c r="O30" s="784" t="s">
        <v>281</v>
      </c>
      <c r="P30" s="784"/>
      <c r="Q30" s="784"/>
      <c r="R30" s="784"/>
      <c r="S30" s="784"/>
      <c r="T30" s="784" t="s">
        <v>282</v>
      </c>
      <c r="U30" s="784"/>
      <c r="V30" s="784"/>
      <c r="W30" s="789"/>
    </row>
    <row r="31" spans="1:23" ht="11.25" customHeight="1">
      <c r="A31" s="785"/>
      <c r="B31" s="781"/>
      <c r="C31" s="781"/>
      <c r="D31" s="781"/>
      <c r="E31" s="10" t="s">
        <v>189</v>
      </c>
      <c r="F31" s="10" t="s">
        <v>192</v>
      </c>
      <c r="G31" s="10" t="s">
        <v>195</v>
      </c>
      <c r="H31" s="10" t="s">
        <v>283</v>
      </c>
      <c r="I31" s="10" t="s">
        <v>189</v>
      </c>
      <c r="J31" s="10" t="s">
        <v>192</v>
      </c>
      <c r="K31" s="10" t="s">
        <v>195</v>
      </c>
      <c r="L31" s="219" t="s">
        <v>283</v>
      </c>
      <c r="M31" s="75"/>
      <c r="N31" s="785"/>
      <c r="O31" s="4" t="s">
        <v>189</v>
      </c>
      <c r="P31" s="4" t="s">
        <v>192</v>
      </c>
      <c r="Q31" s="4" t="s">
        <v>195</v>
      </c>
      <c r="R31" s="781" t="s">
        <v>283</v>
      </c>
      <c r="S31" s="781"/>
      <c r="T31" s="4" t="s">
        <v>189</v>
      </c>
      <c r="U31" s="4" t="s">
        <v>192</v>
      </c>
      <c r="V31" s="4" t="s">
        <v>195</v>
      </c>
      <c r="W31" s="219" t="s">
        <v>283</v>
      </c>
    </row>
    <row r="32" spans="1:23" ht="11.25" customHeight="1">
      <c r="A32" s="220"/>
      <c r="B32" s="777" t="s">
        <v>253</v>
      </c>
      <c r="C32" s="777"/>
      <c r="D32" s="37"/>
      <c r="E32" s="76">
        <f t="shared" ref="E32:E46" si="5">F32+G32</f>
        <v>51042</v>
      </c>
      <c r="F32" s="77">
        <v>52580</v>
      </c>
      <c r="G32" s="78">
        <v>-1538</v>
      </c>
      <c r="H32" s="237" t="s">
        <v>284</v>
      </c>
      <c r="I32" s="77">
        <f t="shared" ref="I32:I46" si="6">J32+K32</f>
        <v>44780</v>
      </c>
      <c r="J32" s="78">
        <v>46455</v>
      </c>
      <c r="K32" s="79">
        <v>-1675</v>
      </c>
      <c r="L32" s="234" t="s">
        <v>284</v>
      </c>
      <c r="M32" s="52"/>
      <c r="N32" s="188" t="s">
        <v>253</v>
      </c>
      <c r="O32" s="78">
        <f t="shared" ref="O32:O46" si="7">+P32+Q32</f>
        <v>43374</v>
      </c>
      <c r="P32" s="78">
        <v>41051</v>
      </c>
      <c r="Q32" s="79">
        <v>2323</v>
      </c>
      <c r="R32" s="770" t="s">
        <v>285</v>
      </c>
      <c r="S32" s="771"/>
      <c r="T32" s="474">
        <f>I9-N9</f>
        <v>31224</v>
      </c>
      <c r="U32" s="382">
        <v>35842</v>
      </c>
      <c r="V32" s="397">
        <f>+T32-U32</f>
        <v>-4618</v>
      </c>
      <c r="W32" s="476" t="s">
        <v>5</v>
      </c>
    </row>
    <row r="33" spans="1:23" ht="11.25" customHeight="1">
      <c r="A33" s="220"/>
      <c r="B33" s="777" t="s">
        <v>213</v>
      </c>
      <c r="C33" s="777"/>
      <c r="D33" s="37"/>
      <c r="E33" s="80">
        <f t="shared" si="5"/>
        <v>-2946</v>
      </c>
      <c r="F33" s="70">
        <v>11540</v>
      </c>
      <c r="G33" s="79">
        <v>-14486</v>
      </c>
      <c r="H33" s="238" t="s">
        <v>514</v>
      </c>
      <c r="I33" s="70">
        <f t="shared" si="6"/>
        <v>-858</v>
      </c>
      <c r="J33" s="79">
        <v>8797</v>
      </c>
      <c r="K33" s="79">
        <v>-9655</v>
      </c>
      <c r="L33" s="234" t="s">
        <v>513</v>
      </c>
      <c r="M33" s="52"/>
      <c r="N33" s="189" t="s">
        <v>213</v>
      </c>
      <c r="O33" s="79">
        <f t="shared" si="7"/>
        <v>11361</v>
      </c>
      <c r="P33" s="79">
        <v>7680</v>
      </c>
      <c r="Q33" s="79">
        <v>3681</v>
      </c>
      <c r="R33" s="770" t="s">
        <v>285</v>
      </c>
      <c r="S33" s="771"/>
      <c r="T33" s="382">
        <f>I10-N10</f>
        <v>3561</v>
      </c>
      <c r="U33" s="382">
        <v>6363</v>
      </c>
      <c r="V33" s="397">
        <f>+T33-U33</f>
        <v>-2802</v>
      </c>
      <c r="W33" s="476" t="s">
        <v>5</v>
      </c>
    </row>
    <row r="34" spans="1:23" ht="11.25" customHeight="1">
      <c r="A34" s="220"/>
      <c r="B34" s="777" t="s">
        <v>286</v>
      </c>
      <c r="C34" s="777"/>
      <c r="D34" s="37"/>
      <c r="E34" s="80">
        <f t="shared" si="5"/>
        <v>1075</v>
      </c>
      <c r="F34" s="70">
        <v>878</v>
      </c>
      <c r="G34" s="70">
        <v>197</v>
      </c>
      <c r="H34" s="238" t="s">
        <v>285</v>
      </c>
      <c r="I34" s="70">
        <f t="shared" si="6"/>
        <v>184</v>
      </c>
      <c r="J34" s="79">
        <v>748</v>
      </c>
      <c r="K34" s="79">
        <v>-564</v>
      </c>
      <c r="L34" s="234" t="s">
        <v>284</v>
      </c>
      <c r="M34" s="52"/>
      <c r="N34" s="189" t="s">
        <v>215</v>
      </c>
      <c r="O34" s="79">
        <f t="shared" si="7"/>
        <v>3543</v>
      </c>
      <c r="P34" s="79">
        <v>3229</v>
      </c>
      <c r="Q34" s="79">
        <v>314</v>
      </c>
      <c r="R34" s="770" t="s">
        <v>285</v>
      </c>
      <c r="S34" s="771"/>
      <c r="T34" s="382">
        <f>I11-N11</f>
        <v>3444</v>
      </c>
      <c r="U34" s="382">
        <v>2563</v>
      </c>
      <c r="V34" s="382">
        <f>+T34-U34</f>
        <v>881</v>
      </c>
      <c r="W34" s="476" t="s">
        <v>8</v>
      </c>
    </row>
    <row r="35" spans="1:23" ht="11.25" customHeight="1">
      <c r="A35" s="220"/>
      <c r="B35" s="777" t="s">
        <v>287</v>
      </c>
      <c r="C35" s="777"/>
      <c r="D35" s="37"/>
      <c r="E35" s="80">
        <f t="shared" si="5"/>
        <v>3151</v>
      </c>
      <c r="F35" s="70">
        <v>2429</v>
      </c>
      <c r="G35" s="70">
        <v>722</v>
      </c>
      <c r="H35" s="238" t="s">
        <v>285</v>
      </c>
      <c r="I35" s="70">
        <f t="shared" si="6"/>
        <v>3892</v>
      </c>
      <c r="J35" s="79">
        <v>2369</v>
      </c>
      <c r="K35" s="79">
        <v>1523</v>
      </c>
      <c r="L35" s="234" t="s">
        <v>285</v>
      </c>
      <c r="M35" s="81"/>
      <c r="N35" s="189"/>
      <c r="O35" s="79"/>
      <c r="P35" s="79"/>
      <c r="Q35" s="79"/>
      <c r="R35" s="184"/>
      <c r="S35" s="184"/>
      <c r="T35" s="382"/>
      <c r="U35" s="382"/>
      <c r="V35" s="382"/>
      <c r="W35" s="476"/>
    </row>
    <row r="36" spans="1:23" ht="11.25" customHeight="1">
      <c r="A36" s="220"/>
      <c r="B36" s="777" t="s">
        <v>219</v>
      </c>
      <c r="C36" s="777"/>
      <c r="D36" s="37"/>
      <c r="E36" s="80">
        <f t="shared" si="5"/>
        <v>6957</v>
      </c>
      <c r="F36" s="70">
        <v>4923</v>
      </c>
      <c r="G36" s="70">
        <v>2034</v>
      </c>
      <c r="H36" s="238" t="s">
        <v>285</v>
      </c>
      <c r="I36" s="70">
        <f t="shared" si="6"/>
        <v>3882</v>
      </c>
      <c r="J36" s="79">
        <v>4710</v>
      </c>
      <c r="K36" s="79">
        <v>-828</v>
      </c>
      <c r="L36" s="234" t="s">
        <v>284</v>
      </c>
      <c r="M36" s="52"/>
      <c r="N36" s="189" t="s">
        <v>219</v>
      </c>
      <c r="O36" s="79">
        <f t="shared" si="7"/>
        <v>3025</v>
      </c>
      <c r="P36" s="79">
        <v>4112</v>
      </c>
      <c r="Q36" s="79">
        <v>-1087</v>
      </c>
      <c r="R36" s="770" t="s">
        <v>284</v>
      </c>
      <c r="S36" s="771"/>
      <c r="T36" s="382">
        <f t="shared" ref="T36:T43" si="8">I12-N12</f>
        <v>2159</v>
      </c>
      <c r="U36" s="397">
        <v>3924</v>
      </c>
      <c r="V36" s="397">
        <f t="shared" ref="V36:V46" si="9">+T36-U36</f>
        <v>-1765</v>
      </c>
      <c r="W36" s="476" t="s">
        <v>5</v>
      </c>
    </row>
    <row r="37" spans="1:23" ht="11.25" customHeight="1">
      <c r="A37" s="220"/>
      <c r="B37" s="777" t="s">
        <v>288</v>
      </c>
      <c r="C37" s="777"/>
      <c r="D37" s="37"/>
      <c r="E37" s="80">
        <f t="shared" si="5"/>
        <v>496</v>
      </c>
      <c r="F37" s="70">
        <v>1156</v>
      </c>
      <c r="G37" s="79">
        <v>-660</v>
      </c>
      <c r="H37" s="238" t="s">
        <v>284</v>
      </c>
      <c r="I37" s="70">
        <f t="shared" si="6"/>
        <v>606</v>
      </c>
      <c r="J37" s="79">
        <v>959</v>
      </c>
      <c r="K37" s="79">
        <v>-353</v>
      </c>
      <c r="L37" s="234" t="s">
        <v>284</v>
      </c>
      <c r="M37" s="52"/>
      <c r="N37" s="189" t="s">
        <v>217</v>
      </c>
      <c r="O37" s="79">
        <f t="shared" si="7"/>
        <v>-756</v>
      </c>
      <c r="P37" s="79">
        <v>434</v>
      </c>
      <c r="Q37" s="79">
        <v>-1190</v>
      </c>
      <c r="R37" s="770" t="s">
        <v>515</v>
      </c>
      <c r="S37" s="771"/>
      <c r="T37" s="382">
        <f t="shared" si="8"/>
        <v>-1454</v>
      </c>
      <c r="U37" s="397">
        <v>117</v>
      </c>
      <c r="V37" s="397">
        <f t="shared" si="9"/>
        <v>-1571</v>
      </c>
      <c r="W37" s="476" t="s">
        <v>6</v>
      </c>
    </row>
    <row r="38" spans="1:23" ht="11.25" customHeight="1">
      <c r="A38" s="220"/>
      <c r="B38" s="777" t="s">
        <v>223</v>
      </c>
      <c r="C38" s="777"/>
      <c r="D38" s="37"/>
      <c r="E38" s="80">
        <f t="shared" si="5"/>
        <v>532</v>
      </c>
      <c r="F38" s="70">
        <v>1767</v>
      </c>
      <c r="G38" s="79">
        <v>-1235</v>
      </c>
      <c r="H38" s="238" t="s">
        <v>284</v>
      </c>
      <c r="I38" s="70">
        <f t="shared" si="6"/>
        <v>1525</v>
      </c>
      <c r="J38" s="79">
        <v>1441</v>
      </c>
      <c r="K38" s="79">
        <v>84</v>
      </c>
      <c r="L38" s="234" t="s">
        <v>285</v>
      </c>
      <c r="M38" s="52"/>
      <c r="N38" s="189" t="s">
        <v>223</v>
      </c>
      <c r="O38" s="79">
        <f t="shared" si="7"/>
        <v>1881</v>
      </c>
      <c r="P38" s="79">
        <v>1254</v>
      </c>
      <c r="Q38" s="79">
        <v>627</v>
      </c>
      <c r="R38" s="770" t="s">
        <v>285</v>
      </c>
      <c r="S38" s="771"/>
      <c r="T38" s="382">
        <f t="shared" si="8"/>
        <v>1739</v>
      </c>
      <c r="U38" s="397">
        <v>1506</v>
      </c>
      <c r="V38" s="397">
        <f t="shared" si="9"/>
        <v>233</v>
      </c>
      <c r="W38" s="476" t="s">
        <v>285</v>
      </c>
    </row>
    <row r="39" spans="1:23" ht="11.25" customHeight="1">
      <c r="A39" s="220"/>
      <c r="B39" s="774" t="s">
        <v>275</v>
      </c>
      <c r="C39" s="774"/>
      <c r="D39" s="54"/>
      <c r="E39" s="82">
        <f t="shared" si="5"/>
        <v>6008</v>
      </c>
      <c r="F39" s="83">
        <v>6501</v>
      </c>
      <c r="G39" s="83">
        <v>-493</v>
      </c>
      <c r="H39" s="239" t="s">
        <v>284</v>
      </c>
      <c r="I39" s="83">
        <f t="shared" si="6"/>
        <v>6732</v>
      </c>
      <c r="J39" s="84">
        <v>6416</v>
      </c>
      <c r="K39" s="84">
        <v>316</v>
      </c>
      <c r="L39" s="235" t="s">
        <v>285</v>
      </c>
      <c r="M39" s="53"/>
      <c r="N39" s="190" t="s">
        <v>275</v>
      </c>
      <c r="O39" s="84">
        <f t="shared" si="7"/>
        <v>3315</v>
      </c>
      <c r="P39" s="84">
        <v>5585</v>
      </c>
      <c r="Q39" s="84">
        <v>-2270</v>
      </c>
      <c r="R39" s="775" t="s">
        <v>284</v>
      </c>
      <c r="S39" s="776"/>
      <c r="T39" s="382">
        <f t="shared" si="8"/>
        <v>4302</v>
      </c>
      <c r="U39" s="398">
        <v>4781</v>
      </c>
      <c r="V39" s="398">
        <f t="shared" si="9"/>
        <v>-479</v>
      </c>
      <c r="W39" s="477" t="s">
        <v>5</v>
      </c>
    </row>
    <row r="40" spans="1:23" ht="11.25" customHeight="1">
      <c r="A40" s="220"/>
      <c r="B40" s="777" t="s">
        <v>225</v>
      </c>
      <c r="C40" s="777"/>
      <c r="D40" s="37"/>
      <c r="E40" s="80">
        <f t="shared" si="5"/>
        <v>2801</v>
      </c>
      <c r="F40" s="70">
        <v>2081</v>
      </c>
      <c r="G40" s="70">
        <v>720</v>
      </c>
      <c r="H40" s="238" t="s">
        <v>285</v>
      </c>
      <c r="I40" s="70">
        <f t="shared" si="6"/>
        <v>2651</v>
      </c>
      <c r="J40" s="79">
        <v>1815</v>
      </c>
      <c r="K40" s="79">
        <v>836</v>
      </c>
      <c r="L40" s="234" t="s">
        <v>285</v>
      </c>
      <c r="M40" s="52"/>
      <c r="N40" s="189" t="s">
        <v>225</v>
      </c>
      <c r="O40" s="79">
        <f t="shared" si="7"/>
        <v>2857</v>
      </c>
      <c r="P40" s="79">
        <v>1688</v>
      </c>
      <c r="Q40" s="79">
        <v>1169</v>
      </c>
      <c r="R40" s="770" t="s">
        <v>285</v>
      </c>
      <c r="S40" s="771"/>
      <c r="T40" s="382">
        <f t="shared" si="8"/>
        <v>768</v>
      </c>
      <c r="U40" s="397">
        <v>1685</v>
      </c>
      <c r="V40" s="397">
        <f t="shared" si="9"/>
        <v>-917</v>
      </c>
      <c r="W40" s="476" t="s">
        <v>5</v>
      </c>
    </row>
    <row r="41" spans="1:23" ht="11.25" customHeight="1">
      <c r="A41" s="220"/>
      <c r="B41" s="777" t="s">
        <v>227</v>
      </c>
      <c r="C41" s="777"/>
      <c r="D41" s="37"/>
      <c r="E41" s="80">
        <f t="shared" si="5"/>
        <v>3860</v>
      </c>
      <c r="F41" s="70">
        <v>2320</v>
      </c>
      <c r="G41" s="70">
        <v>1540</v>
      </c>
      <c r="H41" s="238" t="s">
        <v>285</v>
      </c>
      <c r="I41" s="70">
        <f t="shared" si="6"/>
        <v>1478</v>
      </c>
      <c r="J41" s="79">
        <v>2041</v>
      </c>
      <c r="K41" s="79">
        <v>-563</v>
      </c>
      <c r="L41" s="234" t="s">
        <v>284</v>
      </c>
      <c r="M41" s="52"/>
      <c r="N41" s="189" t="s">
        <v>227</v>
      </c>
      <c r="O41" s="79">
        <f t="shared" si="7"/>
        <v>842</v>
      </c>
      <c r="P41" s="79">
        <v>1584</v>
      </c>
      <c r="Q41" s="79">
        <v>-742</v>
      </c>
      <c r="R41" s="770" t="s">
        <v>284</v>
      </c>
      <c r="S41" s="771"/>
      <c r="T41" s="382">
        <f t="shared" si="8"/>
        <v>1504</v>
      </c>
      <c r="U41" s="397">
        <v>1457</v>
      </c>
      <c r="V41" s="397">
        <f t="shared" si="9"/>
        <v>47</v>
      </c>
      <c r="W41" s="476" t="s">
        <v>8</v>
      </c>
    </row>
    <row r="42" spans="1:23" ht="11.25" customHeight="1">
      <c r="A42" s="220"/>
      <c r="B42" s="777" t="s">
        <v>229</v>
      </c>
      <c r="C42" s="777"/>
      <c r="D42" s="37"/>
      <c r="E42" s="80">
        <f t="shared" si="5"/>
        <v>9491</v>
      </c>
      <c r="F42" s="70">
        <v>5902</v>
      </c>
      <c r="G42" s="79">
        <v>3589</v>
      </c>
      <c r="H42" s="238" t="s">
        <v>285</v>
      </c>
      <c r="I42" s="70">
        <f t="shared" si="6"/>
        <v>4350</v>
      </c>
      <c r="J42" s="79">
        <v>5722</v>
      </c>
      <c r="K42" s="79">
        <v>-1372</v>
      </c>
      <c r="L42" s="234" t="s">
        <v>284</v>
      </c>
      <c r="M42" s="52"/>
      <c r="N42" s="189" t="s">
        <v>229</v>
      </c>
      <c r="O42" s="79">
        <f t="shared" si="7"/>
        <v>6714</v>
      </c>
      <c r="P42" s="79">
        <v>5426</v>
      </c>
      <c r="Q42" s="79">
        <v>1288</v>
      </c>
      <c r="R42" s="770" t="s">
        <v>285</v>
      </c>
      <c r="S42" s="771"/>
      <c r="T42" s="382">
        <f t="shared" si="8"/>
        <v>3849</v>
      </c>
      <c r="U42" s="397">
        <v>4852</v>
      </c>
      <c r="V42" s="397">
        <f t="shared" si="9"/>
        <v>-1003</v>
      </c>
      <c r="W42" s="476" t="s">
        <v>5</v>
      </c>
    </row>
    <row r="43" spans="1:23" ht="11.25" customHeight="1">
      <c r="A43" s="220"/>
      <c r="B43" s="777" t="s">
        <v>211</v>
      </c>
      <c r="C43" s="777"/>
      <c r="D43" s="37"/>
      <c r="E43" s="80">
        <f t="shared" si="5"/>
        <v>3027</v>
      </c>
      <c r="F43" s="70">
        <v>1401</v>
      </c>
      <c r="G43" s="70">
        <v>1626</v>
      </c>
      <c r="H43" s="238" t="s">
        <v>289</v>
      </c>
      <c r="I43" s="70">
        <f t="shared" si="6"/>
        <v>4261</v>
      </c>
      <c r="J43" s="79">
        <v>1449</v>
      </c>
      <c r="K43" s="79">
        <v>2812</v>
      </c>
      <c r="L43" s="234" t="s">
        <v>289</v>
      </c>
      <c r="M43" s="52"/>
      <c r="N43" s="189" t="s">
        <v>231</v>
      </c>
      <c r="O43" s="79">
        <f t="shared" si="7"/>
        <v>2318</v>
      </c>
      <c r="P43" s="79">
        <v>2541</v>
      </c>
      <c r="Q43" s="79">
        <v>-223</v>
      </c>
      <c r="R43" s="770" t="s">
        <v>284</v>
      </c>
      <c r="S43" s="771"/>
      <c r="T43" s="382">
        <f t="shared" si="8"/>
        <v>4745</v>
      </c>
      <c r="U43" s="397">
        <v>2724</v>
      </c>
      <c r="V43" s="397">
        <f t="shared" si="9"/>
        <v>2021</v>
      </c>
      <c r="W43" s="476" t="s">
        <v>285</v>
      </c>
    </row>
    <row r="44" spans="1:23" ht="11.25" customHeight="1">
      <c r="A44" s="220"/>
      <c r="B44" s="777" t="s">
        <v>290</v>
      </c>
      <c r="C44" s="777"/>
      <c r="D44" s="37"/>
      <c r="E44" s="80">
        <f t="shared" si="5"/>
        <v>4476</v>
      </c>
      <c r="F44" s="70">
        <v>2466</v>
      </c>
      <c r="G44" s="70">
        <v>2010</v>
      </c>
      <c r="H44" s="238" t="s">
        <v>285</v>
      </c>
      <c r="I44" s="70">
        <f t="shared" si="6"/>
        <v>4945</v>
      </c>
      <c r="J44" s="79">
        <v>2659</v>
      </c>
      <c r="K44" s="79">
        <v>2286</v>
      </c>
      <c r="L44" s="234" t="s">
        <v>285</v>
      </c>
      <c r="M44" s="52"/>
      <c r="N44" s="189" t="s">
        <v>211</v>
      </c>
      <c r="O44" s="79">
        <f t="shared" si="7"/>
        <v>956</v>
      </c>
      <c r="P44" s="79">
        <v>1356</v>
      </c>
      <c r="Q44" s="79">
        <v>-400</v>
      </c>
      <c r="R44" s="770" t="s">
        <v>284</v>
      </c>
      <c r="S44" s="771"/>
      <c r="T44" s="382">
        <f>I21-N21</f>
        <v>1033</v>
      </c>
      <c r="U44" s="397">
        <v>1131</v>
      </c>
      <c r="V44" s="397">
        <f t="shared" si="9"/>
        <v>-98</v>
      </c>
      <c r="W44" s="476" t="s">
        <v>5</v>
      </c>
    </row>
    <row r="45" spans="1:23" ht="11.25" customHeight="1">
      <c r="A45" s="220"/>
      <c r="B45" s="777" t="s">
        <v>212</v>
      </c>
      <c r="C45" s="777"/>
      <c r="D45" s="37"/>
      <c r="E45" s="80">
        <f t="shared" si="5"/>
        <v>841</v>
      </c>
      <c r="F45" s="70">
        <v>631</v>
      </c>
      <c r="G45" s="79">
        <v>210</v>
      </c>
      <c r="H45" s="238" t="s">
        <v>285</v>
      </c>
      <c r="I45" s="70">
        <f t="shared" si="6"/>
        <v>259</v>
      </c>
      <c r="J45" s="79">
        <v>518</v>
      </c>
      <c r="K45" s="79">
        <v>-259</v>
      </c>
      <c r="L45" s="234" t="s">
        <v>284</v>
      </c>
      <c r="M45" s="52"/>
      <c r="N45" s="189" t="s">
        <v>212</v>
      </c>
      <c r="O45" s="79">
        <f t="shared" si="7"/>
        <v>234</v>
      </c>
      <c r="P45" s="79">
        <v>415</v>
      </c>
      <c r="Q45" s="79">
        <v>-181</v>
      </c>
      <c r="R45" s="770" t="s">
        <v>284</v>
      </c>
      <c r="S45" s="771"/>
      <c r="T45" s="382">
        <f>I22-N22</f>
        <v>975</v>
      </c>
      <c r="U45" s="397">
        <v>379</v>
      </c>
      <c r="V45" s="397">
        <f t="shared" si="9"/>
        <v>596</v>
      </c>
      <c r="W45" s="476" t="s">
        <v>7</v>
      </c>
    </row>
    <row r="46" spans="1:23" ht="11.25" customHeight="1" thickBot="1">
      <c r="A46" s="222"/>
      <c r="B46" s="773" t="s">
        <v>216</v>
      </c>
      <c r="C46" s="773"/>
      <c r="D46" s="215"/>
      <c r="E46" s="232">
        <f t="shared" si="5"/>
        <v>1633</v>
      </c>
      <c r="F46" s="230">
        <v>1819</v>
      </c>
      <c r="G46" s="230">
        <v>-186</v>
      </c>
      <c r="H46" s="240" t="s">
        <v>284</v>
      </c>
      <c r="I46" s="230">
        <f t="shared" si="6"/>
        <v>1850</v>
      </c>
      <c r="J46" s="231">
        <v>1628</v>
      </c>
      <c r="K46" s="231">
        <v>222</v>
      </c>
      <c r="L46" s="236" t="s">
        <v>285</v>
      </c>
      <c r="M46" s="441"/>
      <c r="N46" s="241" t="s">
        <v>216</v>
      </c>
      <c r="O46" s="231">
        <f t="shared" si="7"/>
        <v>1438</v>
      </c>
      <c r="P46" s="231">
        <v>1580</v>
      </c>
      <c r="Q46" s="231">
        <v>-142</v>
      </c>
      <c r="R46" s="768" t="s">
        <v>284</v>
      </c>
      <c r="S46" s="769"/>
      <c r="T46" s="475">
        <f>I23-N23</f>
        <v>1707</v>
      </c>
      <c r="U46" s="399">
        <v>1577</v>
      </c>
      <c r="V46" s="399">
        <f t="shared" si="9"/>
        <v>130</v>
      </c>
      <c r="W46" s="478" t="s">
        <v>285</v>
      </c>
    </row>
    <row r="47" spans="1:23" ht="11.25" customHeight="1">
      <c r="A47" s="56"/>
      <c r="B47" s="37" t="s">
        <v>291</v>
      </c>
      <c r="C47" s="52"/>
      <c r="D47" s="37"/>
      <c r="E47" s="70"/>
      <c r="F47" s="70"/>
      <c r="G47" s="70"/>
      <c r="H47" s="81"/>
      <c r="I47" s="70"/>
      <c r="J47" s="70"/>
      <c r="K47" s="70"/>
      <c r="L47" s="81"/>
      <c r="M47" s="56"/>
      <c r="N47" s="79"/>
      <c r="O47" s="79"/>
      <c r="P47" s="79"/>
      <c r="Q47" s="81"/>
      <c r="R47" s="81"/>
      <c r="S47" s="81"/>
      <c r="T47" s="70"/>
      <c r="U47" s="70"/>
      <c r="V47" s="79"/>
      <c r="W47" s="7" t="s">
        <v>276</v>
      </c>
    </row>
    <row r="48" spans="1:23" ht="11.25" customHeight="1">
      <c r="B48" s="5" t="s">
        <v>292</v>
      </c>
      <c r="C48" s="5"/>
      <c r="D48" s="5"/>
      <c r="E48" s="62"/>
      <c r="F48" s="62"/>
      <c r="G48" s="62"/>
      <c r="H48" s="62"/>
      <c r="I48" s="62"/>
      <c r="J48" s="62"/>
      <c r="K48" s="62"/>
      <c r="L48" s="63"/>
      <c r="M48" s="5" t="s">
        <v>293</v>
      </c>
      <c r="N48" s="62"/>
      <c r="O48" s="62"/>
      <c r="P48" s="62"/>
      <c r="Q48" s="62"/>
      <c r="R48" s="62"/>
      <c r="S48" s="62"/>
      <c r="T48" s="62"/>
      <c r="U48" s="62"/>
      <c r="V48" s="62"/>
    </row>
    <row r="49" spans="2:23" ht="11.25" customHeight="1">
      <c r="B49" s="5" t="s">
        <v>294</v>
      </c>
      <c r="C49" s="5"/>
      <c r="D49" s="5"/>
      <c r="E49" s="62"/>
      <c r="F49" s="62"/>
      <c r="G49" s="62"/>
      <c r="H49" s="62"/>
      <c r="I49" s="62"/>
      <c r="J49" s="62"/>
      <c r="K49" s="62"/>
      <c r="L49" s="63"/>
      <c r="M49" s="5" t="s">
        <v>295</v>
      </c>
      <c r="N49" s="62"/>
      <c r="O49" s="62"/>
      <c r="P49" s="62"/>
      <c r="Q49" s="62"/>
      <c r="R49" s="62"/>
      <c r="S49" s="62"/>
      <c r="T49" s="62"/>
      <c r="U49" s="62"/>
      <c r="V49" s="62"/>
      <c r="W49" s="62"/>
    </row>
    <row r="50" spans="2:23" ht="11.25" customHeight="1">
      <c r="B50" s="5" t="s">
        <v>296</v>
      </c>
      <c r="C50" s="5"/>
      <c r="D50" s="5"/>
      <c r="E50" s="62"/>
      <c r="F50" s="62"/>
      <c r="G50" s="62"/>
      <c r="H50" s="62"/>
      <c r="I50" s="62"/>
      <c r="J50" s="62"/>
      <c r="K50" s="62"/>
      <c r="L50" s="63"/>
      <c r="M50" s="85" t="s">
        <v>297</v>
      </c>
      <c r="N50" s="85"/>
      <c r="O50" s="85"/>
      <c r="P50" s="85"/>
      <c r="Q50" s="85"/>
      <c r="S50" s="767" t="s">
        <v>298</v>
      </c>
      <c r="T50" s="767"/>
      <c r="U50" s="767"/>
      <c r="V50" s="767"/>
    </row>
    <row r="51" spans="2:23" ht="11.25" customHeight="1">
      <c r="B51" s="5" t="s">
        <v>299</v>
      </c>
      <c r="C51" s="5"/>
      <c r="D51" s="5"/>
      <c r="E51" s="62"/>
      <c r="F51" s="62"/>
      <c r="G51" s="62"/>
      <c r="H51" s="62"/>
      <c r="I51" s="62"/>
      <c r="J51" s="62"/>
      <c r="K51" s="62"/>
      <c r="L51" s="63"/>
      <c r="M51" s="85" t="s">
        <v>300</v>
      </c>
      <c r="N51" s="85"/>
      <c r="O51" s="85"/>
      <c r="P51" s="85"/>
      <c r="Q51" s="85"/>
      <c r="R51" s="62"/>
      <c r="S51" s="767" t="s">
        <v>301</v>
      </c>
      <c r="T51" s="767"/>
      <c r="U51" s="767"/>
      <c r="V51" s="767"/>
      <c r="W51" s="62"/>
    </row>
    <row r="52" spans="2:23" ht="11.25" customHeight="1">
      <c r="B52" s="5" t="s">
        <v>302</v>
      </c>
      <c r="C52" s="5"/>
      <c r="D52" s="5"/>
      <c r="E52" s="62"/>
      <c r="F52" s="62"/>
      <c r="G52" s="62"/>
      <c r="H52" s="62"/>
      <c r="I52" s="62"/>
      <c r="J52" s="62"/>
      <c r="K52" s="62"/>
      <c r="L52" s="63"/>
      <c r="M52" s="85" t="s">
        <v>303</v>
      </c>
      <c r="N52" s="85"/>
      <c r="O52" s="85"/>
      <c r="P52" s="85"/>
      <c r="Q52" s="85"/>
      <c r="R52" s="37"/>
      <c r="S52" s="767" t="s">
        <v>304</v>
      </c>
      <c r="T52" s="767"/>
      <c r="U52" s="767"/>
      <c r="V52" s="767"/>
      <c r="W52" s="37"/>
    </row>
    <row r="53" spans="2:23" ht="11.25" customHeight="1">
      <c r="B53" s="5" t="s">
        <v>305</v>
      </c>
      <c r="C53" s="5"/>
      <c r="D53" s="5"/>
      <c r="E53" s="62"/>
      <c r="F53" s="62"/>
      <c r="G53" s="62"/>
      <c r="H53" s="62"/>
      <c r="I53" s="62"/>
      <c r="J53" s="62"/>
      <c r="K53" s="62"/>
      <c r="L53" s="63"/>
      <c r="M53" s="772" t="s">
        <v>306</v>
      </c>
      <c r="N53" s="772"/>
      <c r="O53" s="772"/>
      <c r="P53" s="772"/>
      <c r="Q53" s="772"/>
      <c r="R53" s="37"/>
      <c r="S53" s="767" t="s">
        <v>307</v>
      </c>
      <c r="T53" s="767"/>
      <c r="U53" s="767"/>
      <c r="V53" s="767"/>
      <c r="W53" s="37"/>
    </row>
  </sheetData>
  <sheetProtection selectLockedCells="1" selectUnlockedCells="1"/>
  <mergeCells count="133">
    <mergeCell ref="R20:S20"/>
    <mergeCell ref="R37:S37"/>
    <mergeCell ref="R33:S33"/>
    <mergeCell ref="B21:C21"/>
    <mergeCell ref="E21:F21"/>
    <mergeCell ref="G21:H21"/>
    <mergeCell ref="I21:J21"/>
    <mergeCell ref="G22:H22"/>
    <mergeCell ref="I22:J22"/>
    <mergeCell ref="B33:C33"/>
    <mergeCell ref="B20:C20"/>
    <mergeCell ref="E20:F20"/>
    <mergeCell ref="G20:H20"/>
    <mergeCell ref="I20:J20"/>
    <mergeCell ref="I23:J23"/>
    <mergeCell ref="B24:J24"/>
    <mergeCell ref="B27:J27"/>
    <mergeCell ref="B22:C22"/>
    <mergeCell ref="E22:F22"/>
    <mergeCell ref="B37:C37"/>
    <mergeCell ref="B36:C36"/>
    <mergeCell ref="R36:S36"/>
    <mergeCell ref="B35:C35"/>
    <mergeCell ref="T30:W30"/>
    <mergeCell ref="R34:S34"/>
    <mergeCell ref="R22:S22"/>
    <mergeCell ref="R21:S21"/>
    <mergeCell ref="R31:S31"/>
    <mergeCell ref="R23:S23"/>
    <mergeCell ref="R24:S24"/>
    <mergeCell ref="A30:D31"/>
    <mergeCell ref="E30:H30"/>
    <mergeCell ref="I30:L30"/>
    <mergeCell ref="B28:K28"/>
    <mergeCell ref="B23:C23"/>
    <mergeCell ref="E23:F23"/>
    <mergeCell ref="G23:H23"/>
    <mergeCell ref="O30:S30"/>
    <mergeCell ref="B34:C34"/>
    <mergeCell ref="B32:C32"/>
    <mergeCell ref="R32:S32"/>
    <mergeCell ref="N30:N31"/>
    <mergeCell ref="R42:S42"/>
    <mergeCell ref="B42:C42"/>
    <mergeCell ref="B43:C43"/>
    <mergeCell ref="R43:S43"/>
    <mergeCell ref="B40:C40"/>
    <mergeCell ref="R40:S40"/>
    <mergeCell ref="B41:C41"/>
    <mergeCell ref="R41:S41"/>
    <mergeCell ref="B38:C38"/>
    <mergeCell ref="R38:S38"/>
    <mergeCell ref="B39:C39"/>
    <mergeCell ref="R39:S39"/>
    <mergeCell ref="M53:Q53"/>
    <mergeCell ref="S53:V53"/>
    <mergeCell ref="B45:C45"/>
    <mergeCell ref="R45:S45"/>
    <mergeCell ref="B46:C46"/>
    <mergeCell ref="R46:S46"/>
    <mergeCell ref="S52:V52"/>
    <mergeCell ref="S50:V50"/>
    <mergeCell ref="B44:C44"/>
    <mergeCell ref="R44:S44"/>
    <mergeCell ref="S51:V51"/>
    <mergeCell ref="R18:S18"/>
    <mergeCell ref="B19:C19"/>
    <mergeCell ref="E19:F19"/>
    <mergeCell ref="G19:H19"/>
    <mergeCell ref="I19:J19"/>
    <mergeCell ref="R19:S19"/>
    <mergeCell ref="B18:C18"/>
    <mergeCell ref="E18:F18"/>
    <mergeCell ref="G18:H18"/>
    <mergeCell ref="I18:J18"/>
    <mergeCell ref="R16:S16"/>
    <mergeCell ref="B17:C17"/>
    <mergeCell ref="E17:F17"/>
    <mergeCell ref="G17:H17"/>
    <mergeCell ref="I17:J17"/>
    <mergeCell ref="R17:S17"/>
    <mergeCell ref="B16:C16"/>
    <mergeCell ref="E16:F16"/>
    <mergeCell ref="G16:H16"/>
    <mergeCell ref="I16:J16"/>
    <mergeCell ref="R14:S14"/>
    <mergeCell ref="B15:C15"/>
    <mergeCell ref="E15:F15"/>
    <mergeCell ref="G15:H15"/>
    <mergeCell ref="I15:J15"/>
    <mergeCell ref="R15:S15"/>
    <mergeCell ref="B14:C14"/>
    <mergeCell ref="E14:F14"/>
    <mergeCell ref="G14:H14"/>
    <mergeCell ref="I14:J14"/>
    <mergeCell ref="R12:S12"/>
    <mergeCell ref="B13:C13"/>
    <mergeCell ref="E13:F13"/>
    <mergeCell ref="G13:H13"/>
    <mergeCell ref="I13:J13"/>
    <mergeCell ref="R13:S13"/>
    <mergeCell ref="B12:C12"/>
    <mergeCell ref="E12:F12"/>
    <mergeCell ref="G12:H12"/>
    <mergeCell ref="I12:J12"/>
    <mergeCell ref="R10:S10"/>
    <mergeCell ref="B11:C11"/>
    <mergeCell ref="E11:F11"/>
    <mergeCell ref="G11:H11"/>
    <mergeCell ref="I11:J11"/>
    <mergeCell ref="R11:S11"/>
    <mergeCell ref="B10:C10"/>
    <mergeCell ref="E10:F10"/>
    <mergeCell ref="G10:H10"/>
    <mergeCell ref="I10:J10"/>
    <mergeCell ref="R8:S8"/>
    <mergeCell ref="O7:P7"/>
    <mergeCell ref="Q7:T7"/>
    <mergeCell ref="U7:V7"/>
    <mergeCell ref="A4:L4"/>
    <mergeCell ref="N4:W4"/>
    <mergeCell ref="A5:L5"/>
    <mergeCell ref="N5:W5"/>
    <mergeCell ref="R9:S9"/>
    <mergeCell ref="A7:D8"/>
    <mergeCell ref="E7:F8"/>
    <mergeCell ref="G7:H8"/>
    <mergeCell ref="I7:L7"/>
    <mergeCell ref="B9:C9"/>
    <mergeCell ref="E9:F9"/>
    <mergeCell ref="G9:H9"/>
    <mergeCell ref="I9:J9"/>
    <mergeCell ref="I8:J8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0" orientation="portrait" horizontalDpi="300" verticalDpi="300" r:id="rId1"/>
  <headerFooter alignWithMargins="0">
    <oddHeader>&amp;R&amp;"ＭＳ 明朝,標準"&amp;10人　口</oddHeader>
    <oddFooter>&amp;C&amp;"ＭＳ 明朝,標準"&amp;10&amp;A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15</vt:i4>
      </vt:variant>
    </vt:vector>
  </HeadingPairs>
  <TitlesOfParts>
    <vt:vector size="32" baseType="lpstr">
      <vt:lpstr>-39-</vt:lpstr>
      <vt:lpstr>‐40‐</vt:lpstr>
      <vt:lpstr>‐41‐</vt:lpstr>
      <vt:lpstr>‐42‐</vt:lpstr>
      <vt:lpstr>‐43‐</vt:lpstr>
      <vt:lpstr>‐44‐</vt:lpstr>
      <vt:lpstr>‐45‐</vt:lpstr>
      <vt:lpstr>‐46‐</vt:lpstr>
      <vt:lpstr>‐47‐</vt:lpstr>
      <vt:lpstr>‐48‐</vt:lpstr>
      <vt:lpstr>‐49‐</vt:lpstr>
      <vt:lpstr>‐50‐</vt:lpstr>
      <vt:lpstr>‐51‐</vt:lpstr>
      <vt:lpstr>‐52‐</vt:lpstr>
      <vt:lpstr>‐53‐</vt:lpstr>
      <vt:lpstr>‐54‐</vt:lpstr>
      <vt:lpstr>グラフ</vt:lpstr>
      <vt:lpstr>'-39-'!Print_Area</vt:lpstr>
      <vt:lpstr>‐40‐!Print_Area</vt:lpstr>
      <vt:lpstr>‐41‐!Print_Area</vt:lpstr>
      <vt:lpstr>‐42‐!Print_Area</vt:lpstr>
      <vt:lpstr>‐43‐!Print_Area</vt:lpstr>
      <vt:lpstr>‐44‐!Print_Area</vt:lpstr>
      <vt:lpstr>‐46‐!Print_Area</vt:lpstr>
      <vt:lpstr>‐47‐!Print_Area</vt:lpstr>
      <vt:lpstr>‐48‐!Print_Area</vt:lpstr>
      <vt:lpstr>‐50‐!Print_Area</vt:lpstr>
      <vt:lpstr>‐51‐!Print_Area</vt:lpstr>
      <vt:lpstr>‐52‐!Print_Area</vt:lpstr>
      <vt:lpstr>‐53‐!Print_Area</vt:lpstr>
      <vt:lpstr>‐54‐!Print_Area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2013-03-25T09:28:32Z</cp:lastPrinted>
  <dcterms:created xsi:type="dcterms:W3CDTF">2012-02-23T07:51:36Z</dcterms:created>
  <dcterms:modified xsi:type="dcterms:W3CDTF">2013-04-19T01:26:38Z</dcterms:modified>
</cp:coreProperties>
</file>